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ropbox\ADR\Planes Sostenibilidad Turística en destinos\Memoria\Líneas de actuación\"/>
    </mc:Choice>
  </mc:AlternateContent>
  <bookViews>
    <workbookView xWindow="0" yWindow="0" windowWidth="21600" windowHeight="10320" tabRatio="721" firstSheet="16" activeTab="22"/>
  </bookViews>
  <sheets>
    <sheet name="listado" sheetId="14" r:id="rId1"/>
    <sheet name="presupuesto" sheetId="24" r:id="rId2"/>
    <sheet name="tabla años" sheetId="25" r:id="rId3"/>
    <sheet name="Hoja1" sheetId="26" r:id="rId4"/>
    <sheet name="sendas" sheetId="1" r:id="rId5"/>
    <sheet name="guía" sheetId="3" r:id="rId6"/>
    <sheet name="folletos" sheetId="4" r:id="rId7"/>
    <sheet name="miradorestelar" sheetId="8" r:id="rId8"/>
    <sheet name="observ.aves" sheetId="9" r:id="rId9"/>
    <sheet name="fotofauna" sheetId="15" r:id="rId10"/>
    <sheet name="BTT" sheetId="16" r:id="rId11"/>
    <sheet name="autocaravanas" sheetId="10" r:id="rId12"/>
    <sheet name="museos" sheetId="5" r:id="rId13"/>
    <sheet name="Castillo" sheetId="6" r:id="rId14"/>
    <sheet name="trashumancia" sheetId="18" r:id="rId15"/>
    <sheet name="rutasurbanas" sheetId="23" r:id="rId16"/>
    <sheet name="señaléticaurbana" sheetId="17" r:id="rId17"/>
    <sheet name="web" sheetId="12" r:id="rId18"/>
    <sheet name="PIT" sheetId="20" r:id="rId19"/>
    <sheet name="puntorecarga" sheetId="7" r:id="rId20"/>
    <sheet name="cochecom." sheetId="21" r:id="rId21"/>
    <sheet name="audit.med.amb." sheetId="11" r:id="rId22"/>
    <sheet name="acreditaciones" sheetId="13" r:id="rId23"/>
    <sheet name="ETIS.CETS" sheetId="22" r:id="rId24"/>
    <sheet name="climaneutral" sheetId="27" r:id="rId25"/>
  </sheets>
  <calcPr calcId="152511"/>
  <pivotCaches>
    <pivotCache cacheId="1" r:id="rId2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3" l="1"/>
  <c r="D14" i="3"/>
  <c r="C14" i="3"/>
  <c r="C14" i="5" l="1"/>
  <c r="J2" i="14" l="1"/>
  <c r="C23" i="14"/>
  <c r="C13" i="9" l="1"/>
  <c r="C21" i="26"/>
  <c r="E26" i="25" l="1"/>
  <c r="F26" i="25"/>
  <c r="D26" i="25"/>
  <c r="G26" i="25" s="1"/>
  <c r="C26" i="25"/>
  <c r="B26" i="25"/>
  <c r="G22" i="14"/>
  <c r="D14" i="27" l="1"/>
  <c r="F14" i="27"/>
  <c r="E13" i="27"/>
  <c r="C13" i="27"/>
  <c r="E12" i="27"/>
  <c r="C12" i="27"/>
  <c r="C8" i="27"/>
  <c r="E8" i="27" s="1"/>
  <c r="C7" i="27"/>
  <c r="E7" i="27" s="1"/>
  <c r="C6" i="27"/>
  <c r="E6" i="27" s="1"/>
  <c r="B3" i="27"/>
  <c r="B2" i="27"/>
  <c r="C22" i="14"/>
  <c r="E22" i="14" s="1"/>
  <c r="E9" i="25"/>
  <c r="F9" i="25"/>
  <c r="D9" i="25"/>
  <c r="E8" i="25"/>
  <c r="F8" i="25"/>
  <c r="D8" i="25"/>
  <c r="E7" i="25"/>
  <c r="F7" i="25"/>
  <c r="D7" i="25"/>
  <c r="E14" i="21" l="1"/>
  <c r="D14" i="21"/>
  <c r="C14" i="21"/>
  <c r="A23" i="25"/>
  <c r="A20" i="25"/>
  <c r="A17" i="25"/>
  <c r="A11" i="25"/>
  <c r="A2" i="25"/>
  <c r="C2" i="26"/>
  <c r="C20" i="26"/>
  <c r="C4" i="26"/>
  <c r="C14" i="26"/>
  <c r="C11" i="26"/>
  <c r="C18" i="26"/>
  <c r="C1" i="26"/>
  <c r="C7" i="26"/>
  <c r="C6" i="26"/>
  <c r="C17" i="26"/>
  <c r="C13" i="26"/>
  <c r="C12" i="26"/>
  <c r="C8" i="26"/>
  <c r="C19" i="26"/>
  <c r="C3" i="26"/>
  <c r="C10" i="26"/>
  <c r="C9" i="26"/>
  <c r="C15" i="26"/>
  <c r="C5" i="26"/>
  <c r="C16" i="26"/>
  <c r="F23" i="25" l="1"/>
  <c r="E24" i="25"/>
  <c r="F24" i="25"/>
  <c r="E25" i="25"/>
  <c r="F25" i="25"/>
  <c r="E17" i="25"/>
  <c r="F17" i="25"/>
  <c r="E18" i="25"/>
  <c r="E19" i="25" s="1"/>
  <c r="F18" i="25"/>
  <c r="E20" i="25"/>
  <c r="F20" i="25"/>
  <c r="E21" i="25"/>
  <c r="E22" i="25" s="1"/>
  <c r="F21" i="25"/>
  <c r="F22" i="25" s="1"/>
  <c r="D25" i="25"/>
  <c r="D20" i="25"/>
  <c r="D18" i="25"/>
  <c r="E11" i="25"/>
  <c r="F11" i="25"/>
  <c r="E12" i="25"/>
  <c r="F12" i="25"/>
  <c r="E13" i="25"/>
  <c r="F13" i="25"/>
  <c r="E14" i="25"/>
  <c r="F14" i="25"/>
  <c r="E15" i="25"/>
  <c r="D15" i="25"/>
  <c r="D14" i="25"/>
  <c r="D13" i="25"/>
  <c r="D12" i="25"/>
  <c r="D11" i="25"/>
  <c r="G9" i="25"/>
  <c r="E4" i="25"/>
  <c r="F4" i="25"/>
  <c r="E5" i="25"/>
  <c r="F5" i="25"/>
  <c r="E6" i="25"/>
  <c r="F6" i="25"/>
  <c r="G8" i="25"/>
  <c r="D6" i="25"/>
  <c r="D5" i="25"/>
  <c r="C14" i="13"/>
  <c r="D24" i="25" s="1"/>
  <c r="C14" i="11"/>
  <c r="D23" i="25" s="1"/>
  <c r="D27" i="25" s="1"/>
  <c r="F14" i="21"/>
  <c r="D14" i="12"/>
  <c r="C14" i="12"/>
  <c r="D17" i="25" s="1"/>
  <c r="E14" i="17"/>
  <c r="F15" i="25" s="1"/>
  <c r="D14" i="17"/>
  <c r="F14" i="22"/>
  <c r="F14" i="13"/>
  <c r="F14" i="7"/>
  <c r="F14" i="20"/>
  <c r="F14" i="12"/>
  <c r="F14" i="17"/>
  <c r="F14" i="23"/>
  <c r="F14" i="18"/>
  <c r="F14" i="6"/>
  <c r="F14" i="5"/>
  <c r="F14" i="16"/>
  <c r="F14" i="15"/>
  <c r="F14" i="10"/>
  <c r="F14" i="9"/>
  <c r="F14" i="8"/>
  <c r="C14" i="4"/>
  <c r="D4" i="25" s="1"/>
  <c r="F14" i="4"/>
  <c r="F3" i="25"/>
  <c r="E3" i="25"/>
  <c r="F14" i="3"/>
  <c r="E2" i="25"/>
  <c r="F2" i="25"/>
  <c r="C14" i="1"/>
  <c r="D2" i="25" s="1"/>
  <c r="G2" i="25" s="1"/>
  <c r="C11" i="25"/>
  <c r="C12" i="25"/>
  <c r="C13" i="25"/>
  <c r="C14" i="25"/>
  <c r="C15" i="25"/>
  <c r="C17" i="25"/>
  <c r="C18" i="25"/>
  <c r="C20" i="25"/>
  <c r="C21" i="25"/>
  <c r="C23" i="25"/>
  <c r="C24" i="25"/>
  <c r="C25" i="25"/>
  <c r="C9" i="25"/>
  <c r="C6" i="25"/>
  <c r="C7" i="25"/>
  <c r="C8" i="25"/>
  <c r="C3" i="25"/>
  <c r="C4" i="25"/>
  <c r="C5" i="25"/>
  <c r="C2" i="25"/>
  <c r="F27" i="25" l="1"/>
  <c r="F19" i="25"/>
  <c r="G13" i="25"/>
  <c r="G24" i="25"/>
  <c r="G12" i="25"/>
  <c r="G14" i="25"/>
  <c r="E16" i="25"/>
  <c r="G18" i="25"/>
  <c r="G25" i="25"/>
  <c r="G15" i="25"/>
  <c r="F16" i="25"/>
  <c r="D19" i="25"/>
  <c r="G17" i="25"/>
  <c r="D21" i="25"/>
  <c r="G21" i="25" s="1"/>
  <c r="G7" i="25"/>
  <c r="G11" i="25"/>
  <c r="G20" i="25"/>
  <c r="F14" i="1"/>
  <c r="G4" i="25"/>
  <c r="D14" i="11"/>
  <c r="G5" i="25"/>
  <c r="G6" i="25"/>
  <c r="F10" i="25"/>
  <c r="D3" i="25"/>
  <c r="G3" i="25" s="1"/>
  <c r="E10" i="25"/>
  <c r="D16" i="25"/>
  <c r="D29" i="14"/>
  <c r="D30" i="14"/>
  <c r="D31" i="14"/>
  <c r="D32" i="14"/>
  <c r="D28" i="14"/>
  <c r="G19" i="25" l="1"/>
  <c r="G16" i="25"/>
  <c r="G22" i="25"/>
  <c r="D22" i="25"/>
  <c r="D10" i="25"/>
  <c r="D28" i="25" s="1"/>
  <c r="F28" i="25"/>
  <c r="E23" i="25"/>
  <c r="E27" i="25" s="1"/>
  <c r="F14" i="11"/>
  <c r="G10" i="25"/>
  <c r="C4" i="24"/>
  <c r="C5" i="24"/>
  <c r="C6" i="24"/>
  <c r="G13" i="14"/>
  <c r="C13" i="23"/>
  <c r="E13" i="23" s="1"/>
  <c r="C12" i="23"/>
  <c r="E12" i="23" s="1"/>
  <c r="C8" i="23"/>
  <c r="E8" i="23" s="1"/>
  <c r="C7" i="23"/>
  <c r="E7" i="23" s="1"/>
  <c r="C6" i="23"/>
  <c r="E6" i="23" s="1"/>
  <c r="B3" i="23"/>
  <c r="E28" i="25" l="1"/>
  <c r="G23" i="25"/>
  <c r="G27" i="25" s="1"/>
  <c r="G28" i="25" s="1"/>
  <c r="G21" i="14"/>
  <c r="C13" i="22" l="1"/>
  <c r="E13" i="22" s="1"/>
  <c r="C12" i="22"/>
  <c r="E12" i="22" s="1"/>
  <c r="C8" i="22"/>
  <c r="E8" i="22" s="1"/>
  <c r="C7" i="22"/>
  <c r="E7" i="22" s="1"/>
  <c r="C6" i="22"/>
  <c r="E6" i="22" s="1"/>
  <c r="B3" i="22"/>
  <c r="G18" i="14"/>
  <c r="C13" i="21"/>
  <c r="E13" i="21" s="1"/>
  <c r="C12" i="21"/>
  <c r="E12" i="21" s="1"/>
  <c r="C8" i="21"/>
  <c r="E8" i="21" s="1"/>
  <c r="C7" i="21"/>
  <c r="E7" i="21" s="1"/>
  <c r="C6" i="21"/>
  <c r="E6" i="21" s="1"/>
  <c r="B3" i="21"/>
  <c r="G16" i="14"/>
  <c r="C13" i="20" l="1"/>
  <c r="E13" i="20" s="1"/>
  <c r="C12" i="20"/>
  <c r="E12" i="20" s="1"/>
  <c r="C8" i="20"/>
  <c r="E8" i="20" s="1"/>
  <c r="C7" i="20"/>
  <c r="E7" i="20" s="1"/>
  <c r="C6" i="20"/>
  <c r="E6" i="20" s="1"/>
  <c r="B3" i="20"/>
  <c r="G12" i="14"/>
  <c r="C13" i="18"/>
  <c r="E13" i="18" s="1"/>
  <c r="C12" i="18"/>
  <c r="E12" i="18" s="1"/>
  <c r="C8" i="18"/>
  <c r="E8" i="18" s="1"/>
  <c r="C7" i="18"/>
  <c r="E7" i="18" s="1"/>
  <c r="C6" i="18"/>
  <c r="E6" i="18" s="1"/>
  <c r="B3" i="18"/>
  <c r="G20" i="14"/>
  <c r="G19" i="14"/>
  <c r="G17" i="14"/>
  <c r="G15" i="14"/>
  <c r="G14" i="14"/>
  <c r="G11" i="14"/>
  <c r="G10" i="14"/>
  <c r="G8" i="14"/>
  <c r="G9" i="14"/>
  <c r="G7" i="14"/>
  <c r="G6" i="14"/>
  <c r="G5" i="14"/>
  <c r="G4" i="14"/>
  <c r="G3" i="14"/>
  <c r="G2" i="14"/>
  <c r="G23" i="14" l="1"/>
  <c r="B3" i="24" s="1"/>
  <c r="J5" i="14"/>
  <c r="J4" i="14"/>
  <c r="B3" i="17"/>
  <c r="B3" i="13"/>
  <c r="B3" i="12"/>
  <c r="B3" i="11"/>
  <c r="B3" i="10"/>
  <c r="B3" i="9"/>
  <c r="B3" i="8"/>
  <c r="B3" i="7"/>
  <c r="B3" i="6"/>
  <c r="B3" i="5"/>
  <c r="B3" i="16"/>
  <c r="B3" i="15"/>
  <c r="B3" i="4"/>
  <c r="B3" i="3"/>
  <c r="B3" i="1"/>
  <c r="C13" i="16"/>
  <c r="E13" i="16" s="1"/>
  <c r="C12" i="16"/>
  <c r="E12" i="16" s="1"/>
  <c r="C8" i="16"/>
  <c r="E8" i="16" s="1"/>
  <c r="C7" i="16"/>
  <c r="E7" i="16" s="1"/>
  <c r="C6" i="16"/>
  <c r="E6" i="16" s="1"/>
  <c r="C13" i="15"/>
  <c r="E13" i="15" s="1"/>
  <c r="C12" i="15"/>
  <c r="E12" i="15" s="1"/>
  <c r="C8" i="15"/>
  <c r="E8" i="15" s="1"/>
  <c r="C7" i="15"/>
  <c r="E7" i="15" s="1"/>
  <c r="C6" i="15"/>
  <c r="E6" i="15" s="1"/>
  <c r="C20" i="14"/>
  <c r="E20" i="14" s="1"/>
  <c r="C21" i="14"/>
  <c r="E21" i="14" s="1"/>
  <c r="C17" i="14"/>
  <c r="E17" i="14" s="1"/>
  <c r="C18" i="14"/>
  <c r="E18" i="14" s="1"/>
  <c r="C10" i="14"/>
  <c r="E10" i="14" s="1"/>
  <c r="C11" i="14"/>
  <c r="E11" i="14" s="1"/>
  <c r="C12" i="14"/>
  <c r="E12" i="14" s="1"/>
  <c r="C13" i="14"/>
  <c r="E13" i="14" s="1"/>
  <c r="C14" i="14"/>
  <c r="E14" i="14" s="1"/>
  <c r="C15" i="14"/>
  <c r="E15" i="14" s="1"/>
  <c r="C16" i="14"/>
  <c r="E16" i="14" s="1"/>
  <c r="C2" i="14"/>
  <c r="E2" i="14" s="1"/>
  <c r="C3" i="14"/>
  <c r="E3" i="14" s="1"/>
  <c r="C4" i="14"/>
  <c r="E4" i="14" s="1"/>
  <c r="C5" i="14"/>
  <c r="E5" i="14" s="1"/>
  <c r="C6" i="14"/>
  <c r="E6" i="14" s="1"/>
  <c r="C9" i="14"/>
  <c r="E9" i="14" s="1"/>
  <c r="C7" i="14"/>
  <c r="E7" i="14" s="1"/>
  <c r="C8" i="14"/>
  <c r="E8" i="14" s="1"/>
  <c r="C19" i="14"/>
  <c r="E19" i="14" s="1"/>
  <c r="B2" i="16" l="1"/>
  <c r="B9" i="25"/>
  <c r="B2" i="8"/>
  <c r="B5" i="25"/>
  <c r="B2" i="4"/>
  <c r="B4" i="25"/>
  <c r="B2" i="11"/>
  <c r="B23" i="25"/>
  <c r="B2" i="1"/>
  <c r="B2" i="25"/>
  <c r="B2" i="21"/>
  <c r="B21" i="25"/>
  <c r="B2" i="15"/>
  <c r="B8" i="25"/>
  <c r="B2" i="12"/>
  <c r="B17" i="25"/>
  <c r="B2" i="22"/>
  <c r="B25" i="25"/>
  <c r="B2" i="13"/>
  <c r="B24" i="25"/>
  <c r="B2" i="7"/>
  <c r="B20" i="25"/>
  <c r="B2" i="10"/>
  <c r="B7" i="25"/>
  <c r="B2" i="17"/>
  <c r="B15" i="25"/>
  <c r="B2" i="9"/>
  <c r="B6" i="25"/>
  <c r="B2" i="23"/>
  <c r="B14" i="25"/>
  <c r="B2" i="20"/>
  <c r="B18" i="25"/>
  <c r="B2" i="18"/>
  <c r="B13" i="25"/>
  <c r="B2" i="6"/>
  <c r="B12" i="25"/>
  <c r="B2" i="3"/>
  <c r="B3" i="25"/>
  <c r="B2" i="5"/>
  <c r="B11" i="25"/>
  <c r="B7" i="24"/>
  <c r="C3" i="24"/>
  <c r="C13" i="13"/>
  <c r="E13" i="13" s="1"/>
  <c r="C12" i="13"/>
  <c r="E12" i="13" s="1"/>
  <c r="C8" i="13"/>
  <c r="E8" i="13" s="1"/>
  <c r="C7" i="13"/>
  <c r="E7" i="13" s="1"/>
  <c r="C6" i="13"/>
  <c r="E6" i="13" s="1"/>
  <c r="C7" i="24" l="1"/>
  <c r="F9" i="24"/>
  <c r="C13" i="12"/>
  <c r="E13" i="12" s="1"/>
  <c r="C12" i="12"/>
  <c r="E12" i="12" s="1"/>
  <c r="C8" i="12"/>
  <c r="E8" i="12" s="1"/>
  <c r="C7" i="12"/>
  <c r="E7" i="12" s="1"/>
  <c r="C6" i="12"/>
  <c r="E6" i="12" s="1"/>
  <c r="F12" i="24" l="1"/>
  <c r="F10" i="24"/>
  <c r="F11" i="24"/>
  <c r="C13" i="11"/>
  <c r="E13" i="11" s="1"/>
  <c r="C12" i="11"/>
  <c r="E12" i="11" s="1"/>
  <c r="C8" i="11"/>
  <c r="E8" i="11" s="1"/>
  <c r="C7" i="11"/>
  <c r="E7" i="11" s="1"/>
  <c r="C6" i="11"/>
  <c r="E6" i="11" s="1"/>
  <c r="C13" i="10"/>
  <c r="E13" i="10" s="1"/>
  <c r="C12" i="10"/>
  <c r="E12" i="10" s="1"/>
  <c r="C8" i="10"/>
  <c r="E8" i="10" s="1"/>
  <c r="C7" i="10"/>
  <c r="E7" i="10" s="1"/>
  <c r="C6" i="10"/>
  <c r="E6" i="10" s="1"/>
  <c r="E13" i="9"/>
  <c r="C12" i="9"/>
  <c r="E12" i="9" s="1"/>
  <c r="C8" i="9"/>
  <c r="E8" i="9" s="1"/>
  <c r="C7" i="9"/>
  <c r="E7" i="9" s="1"/>
  <c r="C6" i="9"/>
  <c r="E6" i="9" s="1"/>
  <c r="C13" i="8"/>
  <c r="E13" i="8" s="1"/>
  <c r="C12" i="8"/>
  <c r="E12" i="8" s="1"/>
  <c r="C8" i="8"/>
  <c r="E8" i="8" s="1"/>
  <c r="C7" i="8"/>
  <c r="E7" i="8" s="1"/>
  <c r="C6" i="8"/>
  <c r="E6" i="8" s="1"/>
  <c r="C13" i="7"/>
  <c r="E13" i="7" s="1"/>
  <c r="C12" i="7"/>
  <c r="E12" i="7" s="1"/>
  <c r="C8" i="7"/>
  <c r="E8" i="7" s="1"/>
  <c r="C7" i="7"/>
  <c r="E7" i="7" s="1"/>
  <c r="C6" i="7"/>
  <c r="E6" i="7" s="1"/>
  <c r="C13" i="5"/>
  <c r="E13" i="5" s="1"/>
  <c r="C12" i="5"/>
  <c r="E12" i="5" s="1"/>
  <c r="C8" i="5"/>
  <c r="E8" i="5" s="1"/>
  <c r="C7" i="5"/>
  <c r="E7" i="5" s="1"/>
  <c r="C6" i="5"/>
  <c r="E6" i="5" s="1"/>
  <c r="C13" i="4" l="1"/>
  <c r="E13" i="4" s="1"/>
  <c r="C12" i="4"/>
  <c r="E12" i="4" s="1"/>
  <c r="C8" i="4"/>
  <c r="E8" i="4" s="1"/>
  <c r="C7" i="4"/>
  <c r="E7" i="4" s="1"/>
  <c r="C6" i="4"/>
  <c r="E6" i="4" s="1"/>
  <c r="C13" i="3"/>
  <c r="E13" i="3" s="1"/>
  <c r="C12" i="3"/>
  <c r="E12" i="3" s="1"/>
  <c r="C8" i="3"/>
  <c r="E8" i="3" s="1"/>
  <c r="C7" i="3"/>
  <c r="E7" i="3" s="1"/>
  <c r="C6" i="3"/>
  <c r="E6" i="3" s="1"/>
  <c r="C12" i="1"/>
  <c r="E12" i="1" s="1"/>
  <c r="C8" i="1"/>
  <c r="E8" i="1" s="1"/>
  <c r="C6" i="1"/>
  <c r="E6" i="1" s="1"/>
  <c r="C13" i="1"/>
  <c r="E13" i="1" s="1"/>
  <c r="C7" i="1"/>
  <c r="E7" i="1" s="1"/>
</calcChain>
</file>

<file path=xl/sharedStrings.xml><?xml version="1.0" encoding="utf-8"?>
<sst xmlns="http://schemas.openxmlformats.org/spreadsheetml/2006/main" count="834" uniqueCount="274">
  <si>
    <t>FICHA DE ACTUACIÓN DEL PLAN DE SOSTENIBILIDAD TURÍSTICA DEL BARRANCO DE LAS CINCO VILLAS</t>
  </si>
  <si>
    <t>Título</t>
  </si>
  <si>
    <t>Renovación y modernización de la red de senderos del Barranco</t>
  </si>
  <si>
    <t>1, 2 y 3</t>
  </si>
  <si>
    <t>Mancomunidad</t>
  </si>
  <si>
    <t>Mancomunidad, ayuntamientos, empresas proveedoras, personal contratado</t>
  </si>
  <si>
    <r>
      <rPr>
        <b/>
        <sz val="9"/>
        <color rgb="FF000000"/>
        <rFont val="Open Sans"/>
        <family val="2"/>
      </rPr>
      <t>Señalización</t>
    </r>
    <r>
      <rPr>
        <sz val="9"/>
        <color rgb="FF000000"/>
        <rFont val="Open Sans"/>
        <family val="2"/>
      </rPr>
      <t xml:space="preserve">
• Número de rutas con la nueva señalización adquirida.
• Número de rutas con la nueva señalización adquirida y colocada.
• Número de señales obsoletas retiradas.
</t>
    </r>
    <r>
      <rPr>
        <b/>
        <sz val="9"/>
        <color rgb="FF000000"/>
        <rFont val="Open Sans"/>
        <family val="2"/>
      </rPr>
      <t>Cartelería</t>
    </r>
    <r>
      <rPr>
        <sz val="9"/>
        <color rgb="FF000000"/>
        <rFont val="Open Sans"/>
        <family val="2"/>
      </rPr>
      <t xml:space="preserve">
• Número de vinilos correctores puestos en los postes de inicio de sendero.
• Número de nuevos postes de inicio de sendero instalados.
• Número de carteles obsoletos retirados.
</t>
    </r>
    <r>
      <rPr>
        <b/>
        <sz val="9"/>
        <color rgb="FF000000"/>
        <rFont val="Open Sans"/>
        <family val="2"/>
      </rPr>
      <t>Limpieza</t>
    </r>
    <r>
      <rPr>
        <sz val="9"/>
        <color rgb="FF000000"/>
        <rFont val="Open Sans"/>
        <family val="2"/>
      </rPr>
      <t xml:space="preserve">
• Informe anual del estado de las sendas
• m2 de suelo retirado con escombros</t>
    </r>
  </si>
  <si>
    <t>caracteres</t>
  </si>
  <si>
    <t>máximo</t>
  </si>
  <si>
    <t>Señalizar correctamente todas las rutas con materiales duraderos.
Completar la instalación de los postes de inicio y actualizar la información mostrada
Hacer transitables todas las rutas en primavera y retirar los escombros existentes.</t>
  </si>
  <si>
    <t>Servicio de rutas guiadas durante todos los fines de semana y festivos del año, ofreciendo principalmente rutas de senderismo, pero también rutas temáticas y algunas rutas urbanas. El servicio será gratuito, sin aforo máximo. El calendario de rutas se ofrecerá en la web propia de turismo. Habrá suficiente rotación entre los cinco municipios.</t>
  </si>
  <si>
    <t>Algunos ayuntamientos han estado ofreciendo servicio de rutas guiadas, pero solo durante parte del año y solo en las rutas de su municipio. La experiencia anterior de la Mancomunidad es que hay demanda más que suficiente de rutas para las cinco villas durante todo el año. Además, se espera que el fin de la pandemia traiga un aumento de la demanda de actividades al aire libre.</t>
  </si>
  <si>
    <t>Mancomunidad, personal contratado, oficinas de turismo, alojamientos</t>
  </si>
  <si>
    <t>Número de días con servicio de rutas guiadas al año.
Participación media en las rutas, desglosado por tipo de ruta (senderismo, temática, urbana).
Valoración media de los participantes (sobre cuestionario individual y anónimo).</t>
  </si>
  <si>
    <t>Enero 2022 a marzo 2022: selección, contratación y preparativos.
Abril 2022 a 2024: rutas guiadas
diciembre de los tres años: informes finales anuales por el guía.</t>
  </si>
  <si>
    <t>Libro de excursiones y folletos de rutas de senderismo</t>
  </si>
  <si>
    <t>1, 2</t>
  </si>
  <si>
    <t>La red de senderos del Barranco tiene suficiente entidad para, por sí sola, justifica un libro de rutas. Es, además, una demanda recurrente por los senderistas que visitan nuestra zona.
Respecto a los folletos individuales de las rutas, es necesario modernizar y corregir los folletos existentes, así como hacer los de las nuevas rutas, con el criterio de un diseño pensado para ser descargado principalmente en teléfonos móviles.</t>
  </si>
  <si>
    <t>Ofrecer al turista interesado en el turismo activo una gama suficiente de fuentes de información para que pueda hacer las actividades por su cuenta con las máximas garantías.</t>
  </si>
  <si>
    <t>Mancomunidad, ayuntamientos, concejales y técnicos de turismo, oficinas de turismo municipales, empresas de diseño gráfico, imprentas</t>
  </si>
  <si>
    <t>El libro de excursiones es un libreto de medio tamaño, en color, con una descripción física del Barranco, breve historia y arte, el sistema MIDE y las fichas de las 19 rutas de senderismo (descripción, foto, perfil, ficha MIDE) con dos hojas por ruta. Se hará una tirada modesta, en papel, de 3.000 ejemplares, para su venta en los puntos de información y turismo. Estará también disponible como PDF, gratuito, en la web de turismo y en las webs municipales.
Los folletos de las rutas seguirán un diseño común, moderno y atractivo, pensado para ser descargado en móviles (no habrá versión en papel). Estarán disponibles para su descarga gratuita en la web de turismo de las Cinco Villas y en las webs municipales.</t>
  </si>
  <si>
    <r>
      <t xml:space="preserve">Libro de excursiones - diseño: 2.500 €
Libro de excursiones - imprenta (5.000 ejemplares, A5, vertical, portada y contraportada plastificada, interior en B/N, 52 páginas, papel 170 g): 3.500 €
Folletos de rutas - diseño (un diseño, 19 tipos): 2.000 €
</t>
    </r>
    <r>
      <rPr>
        <b/>
        <sz val="9"/>
        <color rgb="FF000000"/>
        <rFont val="Open Sans"/>
        <family val="2"/>
      </rPr>
      <t>TOTAL: 8.000 €</t>
    </r>
  </si>
  <si>
    <t>Versión digital del libro de excursiones.
Impresión de los libros.
Diseño tipo del folleto de rutas.
Número de diseños terminados de las 19 rutas.</t>
  </si>
  <si>
    <t>Julio a diciembre de 2022: diseños del libro y del folleto-tipo
Enero a junio de 2023: impresión de los libros de excursiones y diseños de los 19 folletos.</t>
  </si>
  <si>
    <t>Adecuación de acceso y adarve del Castillo de Mombeltrán</t>
  </si>
  <si>
    <t>Puntos de recarga de vehículos eléctricos</t>
  </si>
  <si>
    <t>Hacer del Barranco un punto de paso y estancia atractivo para el visitante propietario o usuario de un vehículo eléctrico 100%. Además, fomentar la transición a la movilidad sostenible en la población local.</t>
  </si>
  <si>
    <t>Mancomunidad (punto en Mombeltrán) y Parque Regional de la Sierra de Gredos (punto en el puerto del Pico)</t>
  </si>
  <si>
    <t>Presupuestos presentados para la instalación del punto en Mombeltrán.
Instalación.
Puesta en marcha.
Número de recargas al año.</t>
  </si>
  <si>
    <t>Enero a marzo de 2022: presupuestos de instalación.
Abril: contratación.
Mayo a octubre: instalación y puesta en servicio.</t>
  </si>
  <si>
    <t>Mancomunidad (punto en Mombeltrán), Parque Regional de la Sierra de Gredos (punto en el puerto del Pico), ayuntamientos de Mombeltrán y Villarejo del Valle.</t>
  </si>
  <si>
    <t>Miradores estelares</t>
  </si>
  <si>
    <t>1 y 2</t>
  </si>
  <si>
    <t>El turismo relacionado con la fotografía nocturna está en auge en España. Estos aficionados buscan localizaciones con buena calidad del cielo (la menor contaminación lumínica y la máxima limpieza del aire). La cercanía a Madrid hace de Gredos un destino muy interesante. Además, la salida de la pandemia traerá un aumento de las actividades al aire libre.</t>
  </si>
  <si>
    <t>Hacer del Barranco un lugar interesante para el fotógrafo de cielo nocturno, con tres puntos de observación bien conservados.</t>
  </si>
  <si>
    <t>Mancomunidad, Ayuntamientos de Mombeltrán, Villarejo del Valle y San Esteban del Valle, empresas constructoras, empresas de cartelería</t>
  </si>
  <si>
    <t>Sustitución de los paneles interpretativos deteriorados por los nuevos.
Construcción del nuevo mirador estelar en Mombeltrán.
Visitas a los miradores.</t>
  </si>
  <si>
    <t>Área de servicio para autocaravanas</t>
  </si>
  <si>
    <t>Mancomunidad y Ayuntamiento de San Esteban del Valle</t>
  </si>
  <si>
    <t>Mancomunidad y Ayuntamiento de San Esteban del Valle, empresas constructoras, Asociación de áreas de servicio de autocaravanas de Castilla y León (asesoramiento técnico)</t>
  </si>
  <si>
    <r>
      <t xml:space="preserve">Obra completa: 29.000 €
Financiación San Esteban del Valle: -3.500 €
</t>
    </r>
    <r>
      <rPr>
        <b/>
        <sz val="9"/>
        <color rgb="FF000000"/>
        <rFont val="Open Sans"/>
        <family val="2"/>
      </rPr>
      <t>TOTAL: 25.500 €</t>
    </r>
  </si>
  <si>
    <t>Ejecución de fase 1, movimiento de tierras
Ejecución de fase 2, pavimentación
Ejecución de fase 3, instalaciones
Ejecución de fase 4, varios
Puesta en marcha</t>
  </si>
  <si>
    <t>2022: adjudicación y obras al menos hasta fase 3
2023: completar obra y puesta en marcha</t>
  </si>
  <si>
    <t>Mancomunidad, empresas de diseño web y SEO</t>
  </si>
  <si>
    <t>Mancomunidad, concejales y técnicos de turismo, empresas turísticas de toda índole</t>
  </si>
  <si>
    <t>Reducir el impacto medioambiental de las actividades económicas es prioritario en el escenario actual de calentamiento global, pero, además, es ya una característica demandada cada vez por más turistas. El sello de destino turístico sostenible está muy extendido fuera de nuestras fronteras y el turismo que ofrece el Barranco se adapta bien a su filosofía.</t>
  </si>
  <si>
    <r>
      <t>Realizar auditorías medioambientales a las empresas turísticas, centradas en las emisiones de GEI. Primero se calculará la huella de carbono (indicador medioambiental que refleja la totalidad de GEI provenientes, por defecto directo o indirecto, de la actividad de tu organización). Se persigue: 1) reducción del impacto ambiental y las emisiones de CO</t>
    </r>
    <r>
      <rPr>
        <vertAlign val="subscript"/>
        <sz val="9"/>
        <color rgb="FF000000"/>
        <rFont val="Open Sans"/>
        <family val="2"/>
      </rPr>
      <t>2</t>
    </r>
    <r>
      <rPr>
        <sz val="9"/>
        <color rgb="FF000000"/>
        <rFont val="Open Sans"/>
        <family val="2"/>
      </rPr>
      <t>, 2) reafirmación del compromiso medioambiental de la empresa, 3) definición de un plan de reducción y objetivos anuales, 4) implantación de plan de recopilación de datos, 5) acceso a programas y ayudas específicas.
Procedimiento: 1) Recopilación de datos. 2) Cálculo. 3) Reducción y compensación. Definir un plan de reducción de CO</t>
    </r>
    <r>
      <rPr>
        <vertAlign val="subscript"/>
        <sz val="9"/>
        <color rgb="FF000000"/>
        <rFont val="Open Sans"/>
        <family val="2"/>
      </rPr>
      <t>2</t>
    </r>
    <r>
      <rPr>
        <sz val="9"/>
        <color rgb="FF000000"/>
        <rFont val="Open Sans"/>
        <family val="2"/>
      </rPr>
      <t xml:space="preserve"> con objetivos anuales y proyectos para compensar la huella de carbono. 4) Obtención del sello MITECO.
Para las empresas que los completen se ofrecerá un sistema de reservas que permita al cliente -opcionalmente- pagar un sobrecoste destinado a la compensación de la huella de carbono de su estancia o servicio.</t>
    </r>
  </si>
  <si>
    <r>
      <t xml:space="preserve">26 alojamientos de turismo rural x 600 € = 15.600 €
30 (otros alojamientos, restaurantes y empresas de turismo activo) x 400 € = 12.000 €
</t>
    </r>
    <r>
      <rPr>
        <b/>
        <sz val="9"/>
        <color rgb="FF000000"/>
        <rFont val="Open Sans"/>
        <family val="2"/>
      </rPr>
      <t>TOTAL: 27.600 €</t>
    </r>
  </si>
  <si>
    <t>2022, 1er semestre: recopilación de información
2022, 2º semestre: 50% de auditorías completadas
2023, 1º semestre: 100% auditorías completadas
2023: implementación de opción de pago para compensación
2022-24: ejecución de mejoras previstas en el plan de reducción y revisiones de la H.C.</t>
  </si>
  <si>
    <t>Auditorías medioambientales de las empresas turísticas</t>
  </si>
  <si>
    <t>Mancomunidad, encargados de empresas turísticas, empresas especializadas</t>
  </si>
  <si>
    <r>
      <rPr>
        <b/>
        <sz val="9"/>
        <color rgb="FF000000"/>
        <rFont val="Open Sans"/>
        <family val="2"/>
      </rPr>
      <t>Señalización</t>
    </r>
    <r>
      <rPr>
        <sz val="9"/>
        <color rgb="FF000000"/>
        <rFont val="Open Sans"/>
        <family val="2"/>
      </rPr>
      <t xml:space="preserve">
Enero-diciembre 2022
</t>
    </r>
    <r>
      <rPr>
        <b/>
        <sz val="9"/>
        <color rgb="FF000000"/>
        <rFont val="Open Sans"/>
        <family val="2"/>
      </rPr>
      <t>Cartelería</t>
    </r>
    <r>
      <rPr>
        <sz val="9"/>
        <color rgb="FF000000"/>
        <rFont val="Open Sans"/>
        <family val="2"/>
      </rPr>
      <t xml:space="preserve">
Vinilos correctores: enero-febrero 2022
Nuevos postes de inicio de sendero: Enero-diciembre 2022
</t>
    </r>
    <r>
      <rPr>
        <b/>
        <sz val="9"/>
        <color rgb="FF000000"/>
        <rFont val="Open Sans"/>
        <family val="2"/>
      </rPr>
      <t>Limpieza</t>
    </r>
    <r>
      <rPr>
        <sz val="9"/>
        <color rgb="FF000000"/>
        <rFont val="Open Sans"/>
        <family val="2"/>
      </rPr>
      <t xml:space="preserve">
Retirada de escombros: enero-mayo 2022
Limpieza: abril-junio 2022, abril-junio 2023, abril-junio 2024</t>
    </r>
  </si>
  <si>
    <t>Tanto la adhesión al Club de Ecoturismo como la acreditación Green Destination son necesarios para marcar la hoja de ruta que nos permita cumplir los estándares y requisitos de cada uno, para ser evaluados externamente y determinar nuevas acciones y, por último y no menos importante, para dar visibilidad a la zona con un sello reconocido internacionalmente.</t>
  </si>
  <si>
    <t>Mancomunidad, AEE, Green Destinations</t>
  </si>
  <si>
    <t>Mancomunidad, AEE, Green Destinations, concejales y técnicos de turismo, empresarios turísticos</t>
  </si>
  <si>
    <t>Club de Ecoturismo:
- Incorporación de la comarca a la AEE
- Número de empresas incorporadas al Club de Ecoturismo
Green Destination:
- Evaluación de la comarca
- Redacción y puesta en marcha del Plan de acción
- Acreditación</t>
  </si>
  <si>
    <t>Adhesión al Club de Ecoturismo y acreditación Green Destination</t>
  </si>
  <si>
    <t>ok</t>
  </si>
  <si>
    <t>El castillo de Mombeltrán es un reclamo turístico de primer orden en la comarca, siendo además visible desde cualquier punto del Barranco. Hacerlo visitable ha sido siempre una demanda manifestada por los turistas. La firma del convenio con la propiedad nos capacita ahora para actuar y comenzar a dar valor al castillo.</t>
  </si>
  <si>
    <t>Ayuntamiento de Mombeltrán</t>
  </si>
  <si>
    <t xml:space="preserve">Aumentar la oferta turística haciendo accesible el patrimonio arquitectónico para todos los visitantes de la zona. </t>
  </si>
  <si>
    <t>Redacción de proyecto básico.
Ejecución de la obra.
Obtención de permisos para su apertura al público.
Difusión de la nueva oferta turística.
Número de visitantes anuales.</t>
  </si>
  <si>
    <t>Club de Ecoturismo:
- Enero a marzo 2022: preparar adhesión
- Abril a junio 2022: adhesión
Green Destinations Awards:
- 1º semestre 2022: evaluación de la comarca
- 2º semestre 2022, 2023 y 2024: redacción y puesta en marcha del Plan de acción
- 2024: acreditación</t>
  </si>
  <si>
    <r>
      <rPr>
        <b/>
        <sz val="9"/>
        <color rgb="FF000000"/>
        <rFont val="Open Sans"/>
        <family val="2"/>
      </rPr>
      <t>Señalización</t>
    </r>
    <r>
      <rPr>
        <sz val="9"/>
        <color rgb="FF000000"/>
        <rFont val="Open Sans"/>
        <family val="2"/>
      </rPr>
      <t xml:space="preserve">
Adquisición de señales para rutas de senderismo (señales de continuidad y de cruce), para 21 rutas, con el criterio de máxima durabilidad: tubo metálico en negro lacado, chapa metálica de 15 x 15 cm pintada en negro y lacada, soldada por el canto al tubo, con gráfica creada con vinilo fundido de corte de la máxima calidad. Incluirá la retirada de las señales antiguas y la colocación de las nuevas.
</t>
    </r>
    <r>
      <rPr>
        <b/>
        <sz val="9"/>
        <color rgb="FF000000"/>
        <rFont val="Open Sans"/>
        <family val="2"/>
      </rPr>
      <t>Cartelería</t>
    </r>
    <r>
      <rPr>
        <sz val="9"/>
        <color rgb="FF000000"/>
        <rFont val="Open Sans"/>
        <family val="2"/>
      </rPr>
      <t xml:space="preserve">
Nuevas gráficas para los postes de inicio de sendero existentes, compra y colocación de nuevos postes de inicio de sendero y, finalmente, retirada de cartelería obsoleta.
</t>
    </r>
    <r>
      <rPr>
        <b/>
        <sz val="9"/>
        <color rgb="FF000000"/>
        <rFont val="Open Sans"/>
        <family val="2"/>
      </rPr>
      <t>Limpieza</t>
    </r>
    <r>
      <rPr>
        <sz val="9"/>
        <color rgb="FF000000"/>
        <rFont val="Open Sans"/>
        <family val="2"/>
      </rPr>
      <t xml:space="preserve">
Retirada de la capa superior del suelo conteniendo los restos de escombros y limpieza de todos los restos de plástico y otras basuras presentes en los caminos (una única actuación al inicio del plan).
Desbroce de todas las rutas, a finales de invierno y principios de la primavera, durante los tres años del Plan.</t>
    </r>
  </si>
  <si>
    <t>eje programático</t>
  </si>
  <si>
    <t>número</t>
  </si>
  <si>
    <t>redactado</t>
  </si>
  <si>
    <t>sí</t>
  </si>
  <si>
    <t>no</t>
  </si>
  <si>
    <t>Promoción del turismo asociado a la trashumancia y recursos etnográficos y folclóricos</t>
  </si>
  <si>
    <t>Movilidad sostenible</t>
  </si>
  <si>
    <t>Incorporación del destino al Sistema Europeo de Indicadores Turísticos (ETIS) y de las empresas a la Carta Europea para el Turismo Sostenible en Áreas Protegidas (CETS)</t>
  </si>
  <si>
    <t>Guía de senderismo, rutas de naturaleza, temáticas y urbanas</t>
  </si>
  <si>
    <t>Turismo activo sostenible</t>
  </si>
  <si>
    <t>Patrimonio, cultura y folclore como recursos turísticos</t>
  </si>
  <si>
    <t>Auditoría medioambiental y acreditaciones</t>
  </si>
  <si>
    <t>Renovación de la señalización de los monumentos y urbana</t>
  </si>
  <si>
    <t>Promoción turística, presencia en Internet y ferias</t>
  </si>
  <si>
    <t>número2</t>
  </si>
  <si>
    <t>número3</t>
  </si>
  <si>
    <t>Sin coste para el Plan</t>
  </si>
  <si>
    <t>1,2 y 3</t>
  </si>
  <si>
    <t>En la comarca se ha creado una completa y extensa red de rutas señalizadas para la bici de montaña, muy atractiva para el turista activo y cada vez con más practicantes. En Arenas de San Pedro y Candeleda se han creado puntos BTT y la comarca de las Cinco Villas quedaba sin este servicio.</t>
  </si>
  <si>
    <t>Con diferentes promotores y a lo largo de los últimos años, se han instalado una serie de carteles informativos de sitios de interés y carteles urbanos informativos o indicadores. Cada localidad ha seguido un criterio propio en cuanto a materiales y diseño. Ahora muchos de estos carteles y señales están deteriorados, principalmente por la acción del sol en las gráficas. Esta línea incluirá un estudio de materiales y diseños duraderos, renovación de contenidos, construcción de la nueva cartelería y colocación (además de la retirada de los carteles antiguos).</t>
  </si>
  <si>
    <t>Mancomunidad, Ayuntamientos, empresas de señalética</t>
  </si>
  <si>
    <t>Adquisición de señales urbanas
Instalación de señales urbanas
Adquisición de señales para sitios de interés
Instalación de señales para sitios de interés
Retirada de señales deterioradas</t>
  </si>
  <si>
    <t>2022: inventario de necesidades, nuevo diseño y búsqueda de soluciones duraderas
2023 y 2024: instalación de nuevas señales urbanas y de sitios de interés</t>
  </si>
  <si>
    <t>líneas</t>
  </si>
  <si>
    <t>(14 en Onís)</t>
  </si>
  <si>
    <t>Presencia en internet: web de turismo Cinco Villas</t>
  </si>
  <si>
    <t>Diseño gráfico de la web.
Programación de la web y publicación.
Número de actualizaciones de la web.
Número de publicaciones en redes sociales.
Número de seguidores en redes sociales.
Visitas anuales a la web.</t>
  </si>
  <si>
    <t>Enero a junio 2022: diseño gráfico del portal de turismo.
Julio a diciembre 2022: publicación portal de turismo.
2023: implementación de la información de huella de carbono en empresas y opción de pago para compensación.
Todo el Plan: publicaciones en redes sociales y mantenimiento del portal de turismo.</t>
  </si>
  <si>
    <r>
      <t xml:space="preserve">Nuevo portal de turismo, diseño y programación web: 21.000 €
Textos: 4.500 €
Imágenes: 9.000 €
</t>
    </r>
    <r>
      <rPr>
        <b/>
        <i/>
        <sz val="9"/>
        <color rgb="FF000000"/>
        <rFont val="Open Sans"/>
        <family val="2"/>
      </rPr>
      <t xml:space="preserve">Subtotal portal de turismo: 34.500 €
</t>
    </r>
    <r>
      <rPr>
        <sz val="9"/>
        <color rgb="FF000000"/>
        <rFont val="Open Sans"/>
        <family val="2"/>
      </rPr>
      <t xml:space="preserve">Dominio y alojamiento (servidor dedicado): 1.000 €/año 
Mantenimiento web y redes sociales: 9.000 €/año
Posicionamiento web: 1.500 €/año
</t>
    </r>
    <r>
      <rPr>
        <b/>
        <i/>
        <sz val="9"/>
        <color rgb="FF000000"/>
        <rFont val="Open Sans"/>
        <family val="2"/>
      </rPr>
      <t xml:space="preserve">Subtotal mantenimiento y posicionamiento: 34.500 €
</t>
    </r>
    <r>
      <rPr>
        <sz val="9"/>
        <color rgb="FF000000"/>
        <rFont val="Open Sans"/>
        <family val="2"/>
      </rPr>
      <t xml:space="preserve">Implementación de cálculo de huella de carbono de empresas y opción de pago para compensación: 2.000 €
</t>
    </r>
    <r>
      <rPr>
        <b/>
        <i/>
        <sz val="9"/>
        <color rgb="FF000000"/>
        <rFont val="Open Sans"/>
        <family val="2"/>
      </rPr>
      <t xml:space="preserve">Subtotal implementación de la H.C.: 2.000 €
</t>
    </r>
    <r>
      <rPr>
        <b/>
        <sz val="9"/>
        <color rgb="FF000000"/>
        <rFont val="Open Sans"/>
        <family val="2"/>
      </rPr>
      <t>TOTAL: 71.000 €</t>
    </r>
  </si>
  <si>
    <t>presupuesto</t>
  </si>
  <si>
    <t>Total</t>
  </si>
  <si>
    <r>
      <t xml:space="preserve">La trashumancia a través del puerto del Pico, con el paso de miles de vacas en grandes vacadas dos veces al año, es un evento que puede atraer visitantes de un día o de fin de semana al Barranco. A finales de junio las vacadas inician la jornada temprano, en los prados del fondo del valle y a mediodía llegan a los pastos del puerto del Pico, vigiladas y guiadas por ganaderos a pie y a caballo. Con suficientes medidas de seguridad y sin molestar a los animales, se puede disfrutar de una actividad con centenares de años de tradición.
También se crearán productos específicos, o se aprovecharán para reforzar otras ofertas turísticas, relacionados con la etnografía (resinación del pino en verano, avareado del olivo en otoño, arriería por la calzada romana, pozos de la nieve...), las fiestas como las </t>
    </r>
    <r>
      <rPr>
        <i/>
        <sz val="9"/>
        <color rgb="FF000000"/>
        <rFont val="Open Sans"/>
        <family val="2"/>
      </rPr>
      <t>calbotadas</t>
    </r>
    <r>
      <rPr>
        <sz val="9"/>
        <color rgb="FF000000"/>
        <rFont val="Open Sans"/>
        <family val="2"/>
      </rPr>
      <t xml:space="preserve"> y el folclore barranqueño, con sus rondallas como principal interés.</t>
    </r>
  </si>
  <si>
    <t>Mancomunidad, concejales y técnicos de turismo municipales, grupos culturales</t>
  </si>
  <si>
    <t>Mancomunidad, concejales y técnicos de turismo municipales, grupos culturales, empresas publicitarias, Asociación de la raza avileña negra ibérica</t>
  </si>
  <si>
    <t xml:space="preserve"> </t>
  </si>
  <si>
    <r>
      <t xml:space="preserve">Grabación de eventos y actuaciones de grupos locales: 15.000 €
Adquisición de otros medios para su uso en la promoción turística: 5.000 €
</t>
    </r>
    <r>
      <rPr>
        <b/>
        <sz val="9"/>
        <color rgb="FF000000"/>
        <rFont val="Open Sans"/>
        <family val="2"/>
      </rPr>
      <t>TOTAL: 20.000 €</t>
    </r>
  </si>
  <si>
    <t>Número de experiencias relacionadas ofrecidas en la web turística
Número de consultas y demanda de estas experiencias (a través de la web turística y los empresarios turísticos)
Número de eventos y actuaciones grabadas
Número de otros medios adquiridos e incorporados a la promoción turística</t>
  </si>
  <si>
    <t>2022: grabaciones y adquisición de otros medios
2023 y 2024: oferta de experiencias relacionadas
2023 y 2024: seguimiento de la demanda de experiencias relacionadas</t>
  </si>
  <si>
    <t>Puntos de información turística con venta de productos locales</t>
  </si>
  <si>
    <t>A pesar de que internet es la primera fuente de información para el turista, el PIT ofrece al visitante la garantía de que la información que obtendrá es la más reciente y veraz. Además, muchas veces se acude al PIT para pedir consejo al técnico en turismo. Las oficinas que hasta ahora en ofrecido este servicio en Mombeltrán y San Esteban del Valle tienen una muy buena aceptación por los visitantes, por lo que creemos necesario extender la duración del servicio a todo el año y ampliar las PIT temporales a los otros tres municipios.</t>
  </si>
  <si>
    <t>Garantizar la satisfacción del visitante en su búsqueda de información turística o en consejos para mejorar su estancia en el Barranco.</t>
  </si>
  <si>
    <t>Mancomunidad, ayuntamientos</t>
  </si>
  <si>
    <t>Número de PIT con obras de adecuación iniciadas
Número de PIT con obras finalizadas
Número de PIT con toda la dotación
Número de PIT abiertos</t>
  </si>
  <si>
    <r>
      <t xml:space="preserve">Obras asociadas y adecuación como PIT permanente (2): 24.000 €
Adecuación como PIT temporal (3): 15.000 €
</t>
    </r>
    <r>
      <rPr>
        <b/>
        <sz val="9"/>
        <color rgb="FF000000"/>
        <rFont val="Open Sans"/>
        <family val="2"/>
      </rPr>
      <t>TOTAL: 39.000 €</t>
    </r>
  </si>
  <si>
    <t>Mancomunidad, ayuntamientos, empresas especializadas</t>
  </si>
  <si>
    <t>Mancomunidad, ayuntamientos, empresas especializadas, población local y visitantes</t>
  </si>
  <si>
    <r>
      <t xml:space="preserve">1) AEE
Reuniones con empresas turísticas y preparación documentación: 2.500 €
Cuota 3 años: 1.000 €
Contacto con el club, asistencia a reuniones y acciones formativas: 2.500 €
2) Green Destinations Awards + paquete de soporte Standard: 8.000 €
</t>
    </r>
    <r>
      <rPr>
        <b/>
        <sz val="9"/>
        <color rgb="FF000000"/>
        <rFont val="Open Sans"/>
        <family val="2"/>
      </rPr>
      <t>TOTAL: 14.000 €</t>
    </r>
  </si>
  <si>
    <r>
      <t xml:space="preserve">• Señalización: 20.000 €
• Cartelería: 10.000 €
• Limpieza: 50.000 €
</t>
    </r>
    <r>
      <rPr>
        <b/>
        <sz val="9"/>
        <color rgb="FF000000"/>
        <rFont val="Open Sans"/>
        <family val="2"/>
      </rPr>
      <t>Total: 80.000 €</t>
    </r>
  </si>
  <si>
    <r>
      <t xml:space="preserve">Punto de recarga en Mombeltrán:
- Instalación: 7.500 €
- Derechos de enganche: 850 €
- Señalización horizontal y vertical: 350 €
- Otros gastos: 300 €
Punto de recarga en el puerto del Pico: sin coste para el Plan.
</t>
    </r>
    <r>
      <rPr>
        <b/>
        <sz val="9"/>
        <color rgb="FF000000"/>
        <rFont val="Open Sans"/>
        <family val="2"/>
      </rPr>
      <t>TOTAL: 9.000 €</t>
    </r>
  </si>
  <si>
    <r>
      <rPr>
        <sz val="9"/>
        <color rgb="FF000000"/>
        <rFont val="Open Sans"/>
        <family val="2"/>
      </rPr>
      <t xml:space="preserve">Señales urbanas (7 señales/municipio x 320 €): 11.200 €
Señales de sitios de interés (7 señales/municipio x 450 €): 15.750 €
</t>
    </r>
    <r>
      <rPr>
        <b/>
        <sz val="9"/>
        <color rgb="FF000000"/>
        <rFont val="Open Sans"/>
        <family val="2"/>
      </rPr>
      <t>Total: 27.000 €</t>
    </r>
  </si>
  <si>
    <t>El turismo es un sector importante de la economía de la comarca. Gestionarlo de manera sostenible nos permite reconocer los límites y la capacidad de nuestros recursos turísticos. El ETIS y la CETS son herramientas reconocidas que pueden sernos útiles a los gestores y a los empresarios turísticos para conseguir el objetivo de un turismo más sostenible.</t>
  </si>
  <si>
    <t>Mancomunidad, Parque Regional Sierra de Gredos, ayuntamientos, empresas turísticas</t>
  </si>
  <si>
    <t>Mancomunidad, Parque Regional Sierra de Gredos, ayuntamientos, empresas turísticas, población local</t>
  </si>
  <si>
    <t>Para el ETIS: número de pasos alcanzados en el proceso (Sistema de Indicadores, con 7 pasos)
Para la CETS: número de empresas adheridas</t>
  </si>
  <si>
    <t xml:space="preserve">Además de ofrecer rutas de senderismo y observación de la naturaleza, los cinco pueblos tienen elementos de interés dentro de sus cascos urbanos que justifican la creación de un producto así. Además, hay un tipo de visitante que demanda esta información, el turista de monumentos y sitios de interés. </t>
  </si>
  <si>
    <t>Mancomunidad, concejales y técnicos de turismo de los ayuntamientos, especialistas en patrimonio</t>
  </si>
  <si>
    <t>Mancomunidad, concejales y técnicos de turismo de los ayuntamientos, especialistas en patrimonio, empresas de diseño gráfico, población local</t>
  </si>
  <si>
    <r>
      <t xml:space="preserve">Estudio arqueológico previo completo de cada localidad: 1.000 €/localidad
Diseño de rutas, paradas y selección de puntos con código QR: 1.000 €/ruta
Códigos QR: 500 €
</t>
    </r>
    <r>
      <rPr>
        <b/>
        <sz val="9"/>
        <color rgb="FF000000"/>
        <rFont val="Open Sans"/>
        <family val="2"/>
      </rPr>
      <t>TOTAL: 10.500 €</t>
    </r>
  </si>
  <si>
    <t>Número de estudios arqueológicos completados
Número de rutas completas diseñadas
Número de rutas incorporadas a planos urbanos
Número de rutas georreferenciadas descargadas de la web de turismo
Demanda de rutas urbanas en consultas a los PIT</t>
  </si>
  <si>
    <t>2022: estudios arqueológicos y diseño de rutas
2023, enero: incorporación a planos urbanos y web de turismo
2023-2024: seguimiento de la demanda de rutas urbanas mediante control de descargas de la web y consultas en PIT</t>
  </si>
  <si>
    <t>Rutas urbanas temáticas y señalización de monumentos con códigos QR</t>
  </si>
  <si>
    <t>Total Actuaciones</t>
  </si>
  <si>
    <t>Gerente (3 años)</t>
  </si>
  <si>
    <t>Técnico en turismo (3 años)</t>
  </si>
  <si>
    <t>Actuaciones</t>
  </si>
  <si>
    <t>Gastos generales</t>
  </si>
  <si>
    <t>PRESUPUESTO TOTAL</t>
  </si>
  <si>
    <t>COFINANCIACIÓN MANCOMUNIDAD</t>
  </si>
  <si>
    <t>Etiquetas de fila</t>
  </si>
  <si>
    <t>Total general</t>
  </si>
  <si>
    <t>Suma de presupuesto</t>
  </si>
  <si>
    <t xml:space="preserve">Un portal de turismo propio para el Barranco permitirá concentrar los contenidos, ahora dispersos (o repetidos) en las secciones turísticas de las webs municipales, y es el canal evidente para una comarca turística (incluyendo recursos de zonas adyacentes). Sirva como dato que el 94,7% de los viajeros afirma que consulta Internet para elegir su alojamiento rural. </t>
  </si>
  <si>
    <t>¿Deriva el plan propuesto de algún proceso de planificación de turismo sostenible ejecutado en el destino o guarda relación con otros planes locales vigentes?</t>
  </si>
  <si>
    <t>¿La actuación está orientada a la implantación o renovación de sistemas de reconocimiento o certificación, tales como el método DTI, la mejora de la calidad del destino en el marco del SICTED, sistema de certificación de la CETS, entre otros?</t>
  </si>
  <si>
    <t>¿Está la actuación orientada a implantar o mejorar al desarrollo de producto turístico?</t>
  </si>
  <si>
    <t>Sí. Algunos ayuntamientos ya han comenzado a trabajar en la elección de nuevos sistemas de señalización, más duraderos y sostenibles, en las sendas de su municipio.</t>
  </si>
  <si>
    <t>No</t>
  </si>
  <si>
    <t>Sí. Los miradores estelares forman parte del proyecto Plan de Dinamización Turística Gredos - Iruelas ya finalizado.</t>
  </si>
  <si>
    <t>Sí. En el Parque Regional Sierra de Gredos se inició una importante actuación para aprovechar la calidad de los cielos nocturnos que ha derivado en la declaración de Reserva Starlight recientemente. Ayuntamientos, empresas y población local deben contribuir a mantener o mejorar la calidad de los cielos mediante inversiones de reconversión o acondicionando los nuevos proyectos de alumbrado nocturno. Además, el sector privado ha respondido invirtiendo en la observación y fotografía de cielos nocturnos como producto turístico de Gredos, ya sea con observatorios, eventos o preparando personal para ello.</t>
  </si>
  <si>
    <t>Sí. Las empresas auditadas, que tengan huella de carbono medida, planes de reducción y acometan medidas para esta reducción, podrán acogerse a sistemas de reconocimiento medioambiental dirigidos a empresas turísticas.</t>
  </si>
  <si>
    <t>Sí, pues es el objeto principal de la actuación.</t>
  </si>
  <si>
    <t>Estado de desarrollo de la Fase 1
Estado de desarrollo de la Fase 2
Fecha de puesta en servicio de la miniflota de coche compartido
Contratación del servicio de app de movilidad rural
Fecha de puesta en servicio de la app
Seguimiento de la demanda de ambos servicios, con estadística detallada</t>
  </si>
  <si>
    <t>2022, enero a junio: Fase 1 de miniflota y estudio de alternativas para la app de movilidad rural
2022, julio a diciembre: Fase 2 de miniflota y puesta en servicio de ambos sistemas</t>
  </si>
  <si>
    <t>Implantación de miniflota de coche compartido 0 emisiones, electrificación municipal y aplicación de movilidad rural</t>
  </si>
  <si>
    <r>
      <rPr>
        <b/>
        <sz val="9"/>
        <color rgb="FF000000"/>
        <rFont val="Open Sans"/>
        <family val="2"/>
      </rPr>
      <t xml:space="preserve">1. </t>
    </r>
    <r>
      <rPr>
        <sz val="9"/>
        <color rgb="FF000000"/>
        <rFont val="Open Sans"/>
        <family val="2"/>
      </rPr>
      <t xml:space="preserve">Estudio y puesta en marcha de un sistema de coche compartido en la comarca, con una flota de dos vehículos (híbridos enchufables). 
1ª Fase / Implantación: Asesoría en la elección, adquisición y preparación de los vehículos; Adquisición y preparación de los equipos tecnológicos; Asesoría en la contratación de los servicios vinculados a la operativa del servicio y gestión de los vehículos; Selección y preparación de los puntos de recogida de los vehículos; Adecuación del sistema operativo; Preparación del reglamento de uso y materiales del servicio; Preparación de la oficina local de apoyo; Diseño y elaboración de herramientas de comunicación; Definición y ejecución actividades de comunicación.
2ª Fase / Operacional: Acceso al sistema central de reservas; Atención telefónica del servicio 24h/365; Labores de administración del sistema.
</t>
    </r>
    <r>
      <rPr>
        <b/>
        <sz val="9"/>
        <color rgb="FF000000"/>
        <rFont val="Open Sans"/>
        <family val="2"/>
      </rPr>
      <t xml:space="preserve">2. </t>
    </r>
    <r>
      <rPr>
        <sz val="9"/>
        <color rgb="FF000000"/>
        <rFont val="Open Sans"/>
        <family val="2"/>
      </rPr>
      <t>Electrificación municipal: adquisición de 5 scooters eléctricas 2 kW para la movilidad sostenible del personal municipal.</t>
    </r>
    <r>
      <rPr>
        <b/>
        <sz val="9"/>
        <color rgb="FF000000"/>
        <rFont val="Open Sans"/>
        <family val="2"/>
      </rPr>
      <t xml:space="preserve">
3. </t>
    </r>
    <r>
      <rPr>
        <sz val="9"/>
        <color rgb="FF000000"/>
        <rFont val="Open Sans"/>
        <family val="2"/>
      </rPr>
      <t xml:space="preserve">Aplicación de movilidad rural, una app que une pasajeros y conductores dirigida a las necesidades de las áreas rurales. </t>
    </r>
  </si>
  <si>
    <t>La transición a una movilidad sostenible es una necesidad derivada del actual escenario de cambio climático. Dos estrategias, no excluyentes, son posibles: el cambio de vehículos y el uso del coche compartido. La instalación de un nuevo punto de recarga en Mombeltrán, contemplada en la otra línea de actuación de la movilidad sostenible, puede contribuir a la primera estrategia, pero es necesario complementarla con acciones de la segunda estrategia, iniciando el cambio de la flota a vehículos 0 emisiones a la vez que se potencia el uso del coche compartido.</t>
  </si>
  <si>
    <t xml:space="preserve">Ejes programáticos </t>
  </si>
  <si>
    <t>Anualidad 2022</t>
  </si>
  <si>
    <t>Anualidad 2023</t>
  </si>
  <si>
    <t>Anualidad 2024</t>
  </si>
  <si>
    <t>Total EJE 1</t>
  </si>
  <si>
    <t>Total EJE 2</t>
  </si>
  <si>
    <t>Total EJE 3</t>
  </si>
  <si>
    <t>Total EJE 4</t>
  </si>
  <si>
    <t>Total EJE 5</t>
  </si>
  <si>
    <t>2022, enero a junio: Divulgación de ETIS y CETS
2022, julio a diciembre: implantación de ETIS y primeras acreditaciones de empresas a la CETS
2023, 2024: actualización de ETIS y acompañamiento y nuevas incorporaciones a la CETS</t>
  </si>
  <si>
    <t>TOTAL ACTUACIONES</t>
  </si>
  <si>
    <t>sendas!</t>
  </si>
  <si>
    <t>guía!</t>
  </si>
  <si>
    <t>folletos!</t>
  </si>
  <si>
    <t>autocaravanas!</t>
  </si>
  <si>
    <t>fotofauna!</t>
  </si>
  <si>
    <t>Castillo!</t>
  </si>
  <si>
    <t>trashumancia!</t>
  </si>
  <si>
    <t>web!</t>
  </si>
  <si>
    <t>PIT!</t>
  </si>
  <si>
    <t>acreditaciones!</t>
  </si>
  <si>
    <t>miradorestelar!</t>
  </si>
  <si>
    <t>observ.aves!</t>
  </si>
  <si>
    <t>rutasurbanas!</t>
  </si>
  <si>
    <t>señaléticaurbana!</t>
  </si>
  <si>
    <t>puntorecarga!</t>
  </si>
  <si>
    <t>cochecom.!</t>
  </si>
  <si>
    <t>audit.med.amb.!</t>
  </si>
  <si>
    <t>ETIS.CETS!</t>
  </si>
  <si>
    <t>Crear un producto cultural de interés dentro de los municipios, para los visitantes que se decantan por este tipo de turismo y buscan experiencias distintas. La señalización con QR busca mejorar la experiencia del visitante autoguiado.</t>
  </si>
  <si>
    <t>Dar una imagen renovada y de calidad en los sitios de interés de las cinco localidades del Barranco, con materiales duraderos y resistentes.</t>
  </si>
  <si>
    <t>El principal objetivo es que la web turística actúe como primera fuente de información para visitantes y empresarios turísticos. Además, debe servir para dar una imagen moderna y completa de la comarca. El máximo nivel de objetivo sería actuar como central de reservas.</t>
  </si>
  <si>
    <t>Sensibilizar a propietarios y encargados es el primer objetivo, poniendo cifras a las emisiones de sus negocios. El segundo es conseguir que implanten medidas de reducción. El último objetivo es divulgar la actuación a los clientes.</t>
  </si>
  <si>
    <t>Ambas actuaciones tienen como objetivo servir a todos los actores del Plan para que la sostenibilidad sea el gran objetivo final del Plan, con una hoja de ruta más allá de los 3 años de duración.</t>
  </si>
  <si>
    <t>Ambos sistemas se complementan con los objetivos de la línea 5.2, para que todos los actores locales, administraciones y empresarios asuman como gran objetivo la sostenibilidad del turismo en el Barranco.</t>
  </si>
  <si>
    <t>Nº</t>
  </si>
  <si>
    <t>EJE PROGRAMÁTICO</t>
  </si>
  <si>
    <t>TÍTULO</t>
  </si>
  <si>
    <t>ANUALIDADES</t>
  </si>
  <si>
    <t>DESCRIPCIÓN</t>
  </si>
  <si>
    <t>NECESIDAD</t>
  </si>
  <si>
    <t>OBJETIVOS</t>
  </si>
  <si>
    <t>ACTOR EJECUTOR</t>
  </si>
  <si>
    <t>ACTORES IMPLICADOS</t>
  </si>
  <si>
    <t>PRESUPUESTO</t>
  </si>
  <si>
    <t>RESULTADOS PREVISTOS</t>
  </si>
  <si>
    <t>INDICADORES PARA SU EVALUACIÓN</t>
  </si>
  <si>
    <t>CALENDARIO</t>
  </si>
  <si>
    <r>
      <t xml:space="preserve">1. Miniflota de coche compartido 0 emisiones:
Fase preparativos: 3.000 €
Fase operacional (3 años): 12.000 €
Adquisición de dos vehículos PHEV: 60.000 €
</t>
    </r>
    <r>
      <rPr>
        <b/>
        <i/>
        <sz val="9"/>
        <color rgb="FF000000"/>
        <rFont val="Open Sans"/>
        <family val="2"/>
      </rPr>
      <t>SUBTOTAL: 75.000 €</t>
    </r>
    <r>
      <rPr>
        <b/>
        <sz val="9"/>
        <color rgb="FF000000"/>
        <rFont val="Open Sans"/>
        <family val="2"/>
      </rPr>
      <t xml:space="preserve">
</t>
    </r>
    <r>
      <rPr>
        <sz val="9"/>
        <color rgb="FF000000"/>
        <rFont val="Open Sans"/>
        <family val="2"/>
      </rPr>
      <t xml:space="preserve">2. Electrificación municipal (5 scooters 2 kW): 10.000 €
</t>
    </r>
    <r>
      <rPr>
        <b/>
        <i/>
        <sz val="9"/>
        <color rgb="FF000000"/>
        <rFont val="Open Sans"/>
        <family val="2"/>
      </rPr>
      <t>SUBTOTAL: 10.000 €</t>
    </r>
    <r>
      <rPr>
        <sz val="9"/>
        <color rgb="FF000000"/>
        <rFont val="Open Sans"/>
        <family val="2"/>
      </rPr>
      <t xml:space="preserve">
3. App de movilidad rural
</t>
    </r>
    <r>
      <rPr>
        <b/>
        <i/>
        <sz val="9"/>
        <color rgb="FF000000"/>
        <rFont val="Open Sans"/>
        <family val="2"/>
      </rPr>
      <t>SUBTOTAL: 30.000 €</t>
    </r>
    <r>
      <rPr>
        <sz val="9"/>
        <color rgb="FF000000"/>
        <rFont val="Open Sans"/>
        <family val="2"/>
      </rPr>
      <t xml:space="preserve">
</t>
    </r>
    <r>
      <rPr>
        <b/>
        <sz val="9"/>
        <color rgb="FF000000"/>
        <rFont val="Open Sans"/>
        <family val="2"/>
      </rPr>
      <t>TOTAL: 115.000 €</t>
    </r>
  </si>
  <si>
    <t>Inversión global del plan</t>
  </si>
  <si>
    <t>Aportación de la entidad local</t>
  </si>
  <si>
    <t>Aportación solicitada a la comunidad autónoma</t>
  </si>
  <si>
    <t>Aportación solicitada a la Administración General del Estado</t>
  </si>
  <si>
    <t>Turismo Clima Neutral</t>
  </si>
  <si>
    <t>Un plan de turismo sostenible debe tener en cuenta también las emisiones asociadas al propio plan y las derivadas de la actividad de las empresas turísticas de su ámbito geográfico. Medir, reducir y compensar son los tres pasos hacia la sostenibilidad en cualquier ámbito.
Por otro lado, el Barranco sufrió en 2009 un grave incendio forestal, afectando a extensos pinares y matorrales (además de pérdidas humanas). Y en otras zonas tenemos extensos matorrales en terrenos con vocación de bosque. La reforestación de estos terrenos supone fijar grandes cantidades de carbono atmosférico.
Por último, divulgar y concienciar sobre estas medidas es necesario si queremos que la sostenibilidad sea un filtro permanente en la manera de ofrecer y disfrutar de los servicios turísticos.</t>
  </si>
  <si>
    <t>Conseguir un saldo lo más cercano a 0 posible en las emisiones de GEI asociadas al propio Plan y a las empresas turísticas del Barranco.
Divulgar y concienciar a empresarios y clientes de esta faceta del turismo.</t>
  </si>
  <si>
    <r>
      <t xml:space="preserve">Plan:
Emisiones estimadas Alcances 1 + 2 + 3: 40.000 kg
Emisiones reducidas (estimación): 50%
Emisiones a compensar: 20.000 kg
</t>
    </r>
    <r>
      <rPr>
        <b/>
        <i/>
        <sz val="9"/>
        <color rgb="FF000000"/>
        <rFont val="Open Sans"/>
        <family val="2"/>
      </rPr>
      <t xml:space="preserve">SUBTOTAL: 300 €
</t>
    </r>
    <r>
      <rPr>
        <sz val="9"/>
        <color rgb="FF000000"/>
        <rFont val="Open Sans"/>
        <family val="2"/>
      </rPr>
      <t xml:space="preserve">Empresas turísticas: sin coste para el Plan
</t>
    </r>
    <r>
      <rPr>
        <b/>
        <sz val="9"/>
        <color rgb="FF000000"/>
        <rFont val="Open Sans"/>
        <family val="2"/>
      </rPr>
      <t>TOTAL: 300 €</t>
    </r>
  </si>
  <si>
    <t>Cálculo de la H.C. del Plan, en Alcances 1, 2 y 3
Plan de reducción de emisiones del Plan
Ejecución del plan de reducción
kg de carbono costeados por empresas turísticas para compensación
Número de empresas contactadas para compensación
Superficie en ha reforestada o con contrato para reforestar</t>
  </si>
  <si>
    <t>2022 a 2024: cálculos anuales de H.C. del Plan y empresas turísticas
2023 y 2024: compensación de la H.C.</t>
  </si>
  <si>
    <t>Mientras en otras zonas del norte de Gredos y otras zonas reconocidas como Iruelas o Cabañeros hay multitud de oferta de este tipo de turismo, en la comarca no la hay, a pesar del potencial que tiene.
El turismo de observación y fotografía de fauna está en auge, es muy valorado por el turismo extranjero y es un tipo de viajero que valora el cuidado del medio ambiente, por lo que es una actuación compatible con la sostenibilidad de la zona.</t>
  </si>
  <si>
    <t>Atraer turistas de naturaleza de alto nivel y hacer de La Abantera un punto de observación de calidad.</t>
  </si>
  <si>
    <t>Mancomunidad, ayuntamientos de San Esteban del Valle y Santa Cruz del Valle, empresas turísticas especializadas.</t>
  </si>
  <si>
    <t>Mancomunidad, ayuntamientos de San Esteban del Valle y Santa Cruz del Valle, empresas turísticas especializadas, Serv. Terr. de Medio Ambiente de Ávila, agentes medioambientales.</t>
  </si>
  <si>
    <t>climaneutral!</t>
  </si>
  <si>
    <t>Recuperar un servicio de calidad de rutas guiadas, con un guía comunicativo y afable, buen conocedor del Barranco, para fomentar el turismo sostenible.</t>
  </si>
  <si>
    <t>San Esteban del Valle tiene terreno, proyecto y parte de la financiación para un área de servicio de autocaravanas en las afueras. Se pretende, incorporándolo a este Plan, mejorar las calidades previstas en el proyecto, así como dotarle de financiación completa.
Incluye: 
• Vial, por el borde externo de la parcela, para acceder a todos los servicios del área y a las dos parcelas contiguas.
• Muelle para evacuar aguas grises, 8 x 4 m, en hormigón, con pendiente hacia las rejillas de evacuación, con los colores reglamentarios. Cartel con las normas de uso del recinto.
• Instalación de borne para suministro de agua y evacuación de aguas negras, de obra, junto al muelle.
• Cuatro parcelas o plazas de estacionamiento de las autocaravanas, con firme de zahorra y delimitadas también por bordillos de cemento.
• Farolas para iluminación nocturna (cuando esté en uso).
• Nuevo arbolado de sombra y crecimiento rápido.
• Señal reglamentaria de área de servicio para autocaravanas.</t>
  </si>
  <si>
    <t>Hacer del Barranco un punto interesante para los turistas de autocaravanas, ofreciendo un área de servicio moderno, bien cuidado y atractivo.</t>
  </si>
  <si>
    <t>El turismo en autocaravanas ha tenido un crecimiento exponencial en España en los últimos años. La pandemia, lejos de afectar a las ventas, las ha aumentado. Este tipo de vehículo necesita áreas de servicio especiales, muy escasas en España en general y en Gredos en particular.</t>
  </si>
  <si>
    <t>Mejora de la oferta turística y prestar servicio de información de manera continuada.</t>
  </si>
  <si>
    <t xml:space="preserve">Proyecto contempla la adecuación del adarve del castillo para que pueda ser incluida su visita con suficientes medidas de seguridad, pues en la actualidad su recorrido es inviable (falta de protección por la pérdida de sus antepechos y merlones, especialmente hacia el interior del patio palacial y de armas). Así pues, se trata de la instalación de barandillas, defensas, cancelas y rejas, para que su recorrido pueda ser factible. </t>
  </si>
  <si>
    <t>Garantizar el acceso seguro de visitantes al monumento, aumentar la oferta turística y dar mayor valor al monumento.</t>
  </si>
  <si>
    <t>Atraer visitantes de fin de semana y verano para experiencias relacionadas con la trashumancia, los recursos etnográficos y el folclore barranqueño.</t>
  </si>
  <si>
    <t>Diseño, señalización y difusión de rutas urbanas temáticas en las cinco localidades del Barranco. Se trata de buscar elementos propios del entorno urbano que permitan crear una ruta entretenida para el visitante, de forma autoguiada en general pero susceptibles de realizarse con guía. Como ejemplo, en San Esteban del Valle se trabaja en la ruta urbana "Lo que te dicen las piedras", para descubrir inscripciones, números y calaveras talladas en piedra en elementos de las fachadas. Por supuesto, las rutas deben cubrir también los principales puntos de interés de la localidad, pero pueden no ser el atractivo principal del recorrido.
Para su diseño es necesario un estudio previo, por historiadores, arquitectos o arqueólogos, como técnicos más útiles para este fin. La ruta diseñada contará con paradas bien establecidas, con buenos textos e imágenes descriptivas. En algunos puntos, seguramente todos los sitios de interés más conocidos, se pueda colocar una pequeña placa con un código QR que dé acceso a la información del punto.
Todas las rutas se ofrecerán en la web de turismo, se plasmarán en los planos urbanos y, además, contarán con una versión descargable georeferenciada para poder realizarse de forma autoguiada.</t>
  </si>
  <si>
    <t>Se pretende crear un completo portal de turismo con todos los recursos del Barranco y zonas cercanas, atractiva, con los siguientes criterios:
• Completo: toda la información que alguien pudiera necesitar para hacer cualquier cosa en nuestra comarca debería estar en él. 
• Actualizado.
• Impactante visualmente: el portal debe tener un diseño atractivo y cuidado, así como imágenes de la máxima calidad (y tamaño cuando así lo requiera).
• Bien organizado. La localización de la información dentro del sitio web debe ser lógica e intuitiva. También la forma de acceder a ella, mediante menús o filtros, debe ser de la máxima calidad y eficiencia.
• Rápido: la velocidad de carga y respuesta de todas las peticiones a la web deben ser casi instantáneas.
• Adaptable (responsive): el portal se adaptará a todos los dispositivos y orientaciones.
Contará con un potente asistente virtual. Además, se trabajará en varias redes sociales y se crearán campañas publicitarias de pago.</t>
  </si>
  <si>
    <t>Adecuación de puntos de información turística (PIT) en los cinco municipios. En Mombeltrán y San Esteban del Valle serán permanentes y, además, tendrán una pequeña tienda de productos locales contigua. Se ubicarán en el Hospital de San Andrés (Mombeltrán) y en el edificio municipal de Cuatro Caminos (San Esteban del Valle). En los otros municipios los PIT serán temporales (meses de verano). El coste del personal será por cuenta de los ayuntamientos.
En la zona de tienda de productos locales se expondrán y venderán productos seleccionados de proveedores de la comarca.</t>
  </si>
  <si>
    <t>2022 enero a mayo: obras de adecuación
2022 junio: instalaciones, mobiliario, equipamientos
2023 julio: apertura de todos los PIT</t>
  </si>
  <si>
    <t>Instalación de puntos de recarga de vehículos eléctricos en Mombeltrán y en el aparcamiento del mirador del puerto del Pico. Se prevé instalar un punto de recarga mixto, exterior, de 4 tomas (2 simultáneas), con una potencia máxima de 22 kW, en una zona de aparcamiento (para dos plazas), así como la oportuna señal de tráfico que indique el tipo de aparcamiento.</t>
  </si>
  <si>
    <t>La movilidad sostenible es un objetivo de la Unión Europea y los estados miembros. El Plan MOVES III está en marcha y se espera un aumento en la penetración del coche eléctrico en el parque español. La red de puntos de recarga es aún muy escasa y dispersa, sobre todo en el mundo rural. 
Además del punto de San Esteban del Valle, el punto más cercano se encuentra en Guisando (MOVELETUR), además de otros puntos en hoteles rurales, principalmente en el lado norte de la sierra. No hay ninguno en la comarca de Arenas de San Pedro, El Hornillo y El Arenal.</t>
  </si>
  <si>
    <t>Dar el primer paso hacia la movilidad sostenible en la comarca, para estimular la transición en la población y atraer visitantes que valoran estos otros aspectos medioambientales en su destino.</t>
  </si>
  <si>
    <t>Número de empresas con H.C. calculada
Número de empresas con H.C. por cliente o servicio calculada
Número de empresas con plan de reducción de emisiones
Número de empresas que acometen acciones previstas en el plan de reducción
Número de empresas que ofrecen pago para compensación de emisiones al cliente</t>
  </si>
  <si>
    <r>
      <t xml:space="preserve">El Sistema Europeo de Indicadores Turísticos, ideado para los destinos turísticos, está diseñado como un proceso dirigido y controlado por la población local para el seguimiento, la gestión y la mejora de la sostenibilidad de los destinos turísticos. Consta de un conjunto de Indicadores (27 básicos y 40 opcionales), una herramienta y una serie de datos. Además, se puede aplicar sin necesidad de recibir formación específica.  Surgió del </t>
    </r>
    <r>
      <rPr>
        <i/>
        <sz val="9"/>
        <color rgb="FF000000"/>
        <rFont val="Open Sans"/>
        <family val="2"/>
      </rPr>
      <t>Estudio de viabilidad de un sistema europeo de indicadores turísticos para la gestión sostenible a nivel del destino</t>
    </r>
    <r>
      <rPr>
        <sz val="9"/>
        <color rgb="FF000000"/>
        <rFont val="Open Sans"/>
        <family val="2"/>
      </rPr>
      <t xml:space="preserve"> encargado por la Comisión Europea. En nuestro Plan aplicaremos el ETIS durante los 3 años de duración y se dotará de personal y recursos económicos para darle continuidad después.
La Carta Europea de Turismo Sostenible en Espacios Naturales Protegidos (CETS) es una iniciativa de la Federación EUROPARC que tiene como objetivo global promover el desarrollo del turismo en clave de sostenibilidad en los espacios naturales protegidos de Europa. La CETS es un método y un compromiso voluntario para aplicar los principios de turismo sostenible, orientando a los gestores de los espacios naturales protegidos y a las empresas para definir sus estrategias de forma participada. Consta de tres fases. En la Fase I se acreditan los espacios naturales protegidos, en la II las empresas y en la III las agencias de viaje. El Parque Regional Sierra de Gredos ya se adhirió en 2009 y ahora se encuentra en proceso de re-adhesión. En nuestro Plan se trabajará en la Fase II, para promover la CETS y conseguir que las empresas turísticas se adhieran a él.</t>
    </r>
  </si>
  <si>
    <r>
      <t>Esta línea reúne una serie de actuaciones encaminadas a conseguir un saldo 0 en emisiones de gases de efecto invernadero en la mayor parte de actividades turísticas del Barranco.
1) Cálculo, reducción de emisiones y compensación de CO</t>
    </r>
    <r>
      <rPr>
        <vertAlign val="subscript"/>
        <sz val="9"/>
        <color rgb="FF000000"/>
        <rFont val="Open Sans"/>
        <family val="2"/>
      </rPr>
      <t>2</t>
    </r>
    <r>
      <rPr>
        <sz val="9"/>
        <color rgb="FF000000"/>
        <rFont val="Open Sans"/>
        <family val="2"/>
      </rPr>
      <t xml:space="preserve"> del propio Plan, en los tres Alcances contemplados por el MITECO, durante los tres años de duración.
2) Compensación de carbono local, mediante la búsqueda de proyectos y empresas acreditadas para la compensación de carbono en el MITECO. Actualmente ya hay ayuntamientos que han formalizado pequeños contratos de cesión de derechos de compensación a empresas externas. La compensación se materializa en reforestaciones en terrenos incendiados hace más de 10 años o en terrenos aptos para el bosque sin arbolado. Las cantidades de carbono a compensar vendrán de la suma de las emisiones a compensar de la actividad del propio Plan (pequeñas, esperamos) y de la emisiones de las empresas turísticas que nos trasladen esta necesidad. Económicamente las del Plan irán a cargo de su propio presupuesto y las de las empresas deberán ser costeadas por ellas (en última instancia, por el cliente).
3) Divulgación de toda la información de los puntos 1 y 2 en la web de turismo y en la publicidad de las empresas turísticas.</t>
    </r>
  </si>
  <si>
    <t>Museos etnográfico y urbano</t>
  </si>
  <si>
    <t>museos!</t>
  </si>
  <si>
    <t>Mancomunidad, ayuntamientos de Mombeltrán y Santa Cruz del Valle</t>
  </si>
  <si>
    <r>
      <t xml:space="preserve">Museo etnográfico en San Andrés: 
Reformas del edificio, instalaciones y mobiliario, para museo y PIT: </t>
    </r>
    <r>
      <rPr>
        <b/>
        <i/>
        <sz val="9"/>
        <color rgb="FF000000"/>
        <rFont val="Open Sans"/>
        <family val="2"/>
      </rPr>
      <t>41.500 €</t>
    </r>
    <r>
      <rPr>
        <sz val="9"/>
        <color rgb="FF000000"/>
        <rFont val="Open Sans"/>
        <family val="2"/>
      </rPr>
      <t xml:space="preserve">
Museo urbano en Santa Cruz del Valle:
• Restauración de murales: pinturas, barnices: 1.200 €. Cerrajería: 700 €. Maderas: 500 €. Ferretería 100 €.
• Mano de obra: Pintor 6.000 €
• Mapa turístico: 1.500 €
• Guía: 18.000 €
• Cerámica: 5.000 €.
</t>
    </r>
    <r>
      <rPr>
        <b/>
        <i/>
        <sz val="9"/>
        <color rgb="FF000000"/>
        <rFont val="Open Sans"/>
        <family val="2"/>
      </rPr>
      <t>SUBTOTAL: 33.000 €</t>
    </r>
    <r>
      <rPr>
        <sz val="9"/>
        <color rgb="FF000000"/>
        <rFont val="Open Sans"/>
        <family val="2"/>
      </rPr>
      <t xml:space="preserve">
</t>
    </r>
    <r>
      <rPr>
        <b/>
        <sz val="9"/>
        <color rgb="FF000000"/>
        <rFont val="Open Sans"/>
        <family val="2"/>
      </rPr>
      <t>TOTAL: 74.500 €</t>
    </r>
  </si>
  <si>
    <t>1) Adecuación del edificio histórico y BIC Hospital de San Andrés en Mombeltrán como Museo Etnografico. Actualmente el edificio tiene usos temporales, en diferentes épocas del año, pero con esta actuación se pretende que su uso sea continuado. La zona de museo servirá para dar a conocer las tradiciones y la forma de vida de los municipios que conforman la Mancomunidad desde tiempos pasados hasta la actualidad.
2) Museo urbano en Santa Cruz del Valle. Se pretende continuar y recuperar la esencia de un pueblo a través de elementos con los que el visitante identifique el mismo. El objetivo es plasmar la tradición oral, los antiguos oficios, los motes, la toponimia en sus calles, en sus fachadas, en sus rincones; bien sea en pintura murales, bien en cerámica para que de esa forma el visitante se adentre en la propia identidad del pueblo. La historia de los últimos 40 años de este municipio viene marcada por la actuación de pinturas murales en fachadas y grupos escultóricos insertados en todo el municipio, a lo que se une un Museo de Pintura Contemporánea, resultado de las distintas ediciones del concurso de pintura con resultado anual y un Museo Internacional del Aceite de Oliva, con muestra de todos los países de cultura olivarera del mediterráneo. Para ello, contaríamos de un plano turístico del itinerario a seguir y con un servicio de guía.</t>
  </si>
  <si>
    <t>Ante la afluencia de turistas durante todo el año y especialmente en fines de semana y periodos festivos, se hace necesario incrementar la oferta de actividades y dar a conocer el valioso patrimonio cultural y etnográfico de la zona.</t>
  </si>
  <si>
    <t>Atraer turistas y mejorar su experiencia durante su estancia en la zona con museos interesantes y entretenidos.</t>
  </si>
  <si>
    <t>MUSEO ETNOGRÁFICO HOSPITAL DE SAN ANDRÉS
- Proyecto de adecuación
- Adjudicación de obra de adecuación
- Fecha de finalización de obras
- Fecha de apertura
- Número de visitantes, desglosado
MUSEO URBANO EN SANTA CRUZ DEL VALLE
- Número de murales restaurados
- Número de placas cerámicas instaladas
- Días de servicio del guía urbano
- Número de visitantes en las rutas urbanas, desglosado</t>
  </si>
  <si>
    <t>2022: proyecto, obra y dotación de museo etnográfico
2022 mayo - septiembre: barnizado y restauración murales existentes. Colocación cerámica.
2023 mayo - septiembre: Realización y colocación nuevos murales.
2024 mayo - septiembre: Realización y colocación nuevos murales.</t>
  </si>
  <si>
    <t>Puntos BTT y Ciclomontañada</t>
  </si>
  <si>
    <t>1) Adecuación de espacios como Punto BTT en San Esteban del Valle (permanente) y Santa Cruz del Valle (temporal). El primero dará servicio de punto BTT completo, con bicicletas de alquiler, información de rutas, zona de limpieza, área de mantenimiento y zona de aparcamiento y cuidado de bicis. El segundo tendrá alquiler de 8 bicicletas eléctricas en fines de semana y verano.
2) Se pretende recuperar una ciclomarcha que se celebró durante 15 años en Santa Cruz del Valle, llegando a un número elevado de participantes procedentes de diversas nacionalidades. Esta marcha lúdico-deportiva no competitiva sería complementada con una marcha cultural, recorriendo el itinerario marcado y monumental de las Cinco Villas. Marchas que se celebran en un mismo fin de semana y sería complementada con un punto con bicicletas eléctricas, cuya finalidad sería realizar rutas estables durante todo el año.</t>
  </si>
  <si>
    <t>Mejorar la experiencia del usuario de la BTT, completar la oferta de turismo activo en la zona, atraer visitantes que demandan un alto nivel de servicios asociados a la BTT o alquiler de BTT.</t>
  </si>
  <si>
    <t>Mancomunidad, Mancomunidad del Bajo Tiétar, ayuntamientos de San Esteban del Valle y Santa Cruz del Valle</t>
  </si>
  <si>
    <t>Mancomunidad, Mancomunidad del Bajo Tiétar, ayuntamientos de San Esteban del Valle y Santa Cruz del Valle, empresas suministradoras</t>
  </si>
  <si>
    <r>
      <t xml:space="preserve">Punto BTT permantente San Esteban del Valle: 20.000 €
Punto BTT temporal Santa Cruz del Valle: 20.000 €
Ciclomontañada (anual): 3.000 €
</t>
    </r>
    <r>
      <rPr>
        <b/>
        <sz val="9"/>
        <color rgb="FF000000"/>
        <rFont val="Open Sans"/>
        <family val="2"/>
      </rPr>
      <t>TOTAL: 49.000 €</t>
    </r>
  </si>
  <si>
    <t>2022, 1º semestre: puesta en marcha y adecuación completa de los puntos BTT
2022, 2023 y 2024: Ciclomontañada, informes anuales de funcionamiento, necesidades y demanda de los puntos BTT</t>
  </si>
  <si>
    <t>BTT!</t>
  </si>
  <si>
    <t>Fecha de adecuación completa de los dos Puntos BTT
Fecha de apertura al público
Días al año que se ofrece el servicio
Número de bicicletas en alquiler
Demanda de bicicletas en alquiler
Demanda de los otros servicios ofrecidos</t>
  </si>
  <si>
    <t>Turismo de naturaleza - observación de fauna de interés</t>
  </si>
  <si>
    <t>1) Construcción de un observatorio de aves en La Abantera, para aves rapaces y carroñeras, permanente, con acceso limitado y solo con acompañamiento de una empresa encargada, para la observación y fotografía de aves. El punto elegido se encuentra entre los términos municipales de San Esteban del Valle y Santa Cruz del Valle. La elección del lugar se ha basado en un estudio previo realizado por ornitólogos expertos en el turismo de naturaleza, que permite asegurar que el acceso al punto de observación no interfiere con la fauna.
La explotación del observatorio ser realizará mediante convenio con empresa especializada, pues no se permitirá el libre acceso al observatorio.
2) Estudio de posibilidades de aprovechar la fauna de interés en la zona, en principio solo la cabra montés, pero más adelante quizá también el lobo, para atraer visitantes interesados en la observación o en la fotografía de estas especies. El estudio debe valorar la demanda, las experiencias de otros puntos en Europa, la compatibilidad con la conservación de las especies, la normativa y permisos necesarios para poner en marcha el servicio, la colaboración con empresas privadas y el presupuesto de puesta en marcha del servicio.</t>
  </si>
  <si>
    <t>Observatorio de aves: 11.000 €
Estudio de posibilidades de observación de cabra montés y lobo: SIN COSTE PARA EL PLAN</t>
  </si>
  <si>
    <t>OBSERVATORIO DE AVES
- Proyecto de obra
- Presupuestos
- Fecha de finalización de obra
- Convenio con empresa encargada de explotación
- Fecha de inicio del servicio
- Demanda del servicio, desglosada
OBSERVACIÓN DE CABRA MONTÉS Y LOBO
Redacción del estudio de posibilidades de observación de la cabra montés. Idem para el lobo.</t>
  </si>
  <si>
    <t>2022: estudios previos, permisos, presupuestos
2023: obra, convenio de explotación y puesta en marcha
2022 a 2024: estudio de observación de cabra montés y lobo</t>
  </si>
  <si>
    <t>Adecuación del arboreto de plantas y árboles autóctonas de Santa Cruz del Valle, con más de 100 especies de árboles y plantas autóctonas de Castilla y León.  El arboreto es mucho más que una arboleda o un mueso de árboles vivos, es una reserva natural representativa de la naturaleza de esta comunidad autónoma, un lugar de protección y a la vez un elemento de educación. Tanto los carteles identificativos de cada especie como el cartel de inicio del recorrido están muy deteriorados.</t>
  </si>
  <si>
    <t>La flora de interés, y en concreto los arboretos, son un recurso demandado por un cierto tipo de turista con cierto nivel de conocimientos.</t>
  </si>
  <si>
    <t>Mancomunidad, Ayuntamiento de Santa Cruz del Valle</t>
  </si>
  <si>
    <t>Mancomunidad, Ayuntamiento de Santa Cruz del Valle, empresas suministradoras</t>
  </si>
  <si>
    <r>
      <t xml:space="preserve">Señalización y marcado de rutas. Paneles explicativos de los árboles y plantas.
</t>
    </r>
    <r>
      <rPr>
        <b/>
        <sz val="9"/>
        <color rgb="FF000000"/>
        <rFont val="Open Sans"/>
        <family val="2"/>
      </rPr>
      <t>TOTAL 22.000 €</t>
    </r>
  </si>
  <si>
    <t>2022: Desbroce y limpieza y trazado de sendas e itinerarios. 
2023: Impostación de señales indicativas y carteles explicativos.</t>
  </si>
  <si>
    <t>Informe de desbroce y limpieza de los recorridos por el arboreto
Número y fecha de instalación de señales y carteles
Seguimiento de la demanda de visitas al arboreto</t>
  </si>
  <si>
    <t>Turismo de naturaleza (flora): Arboreto</t>
  </si>
  <si>
    <r>
      <t xml:space="preserve">Presupuesto de ejecución adarve: 53.000 €
Presupuesto ejecución accesos: 50.000 €
</t>
    </r>
    <r>
      <rPr>
        <b/>
        <sz val="9"/>
        <color rgb="FF000000"/>
        <rFont val="Open Sans"/>
        <family val="2"/>
      </rPr>
      <t>TOTAL 103.000 €</t>
    </r>
  </si>
  <si>
    <t>2022: ejecución de proyecto y obra completa de adecuación del adarve transitable y accesos al castillo</t>
  </si>
  <si>
    <r>
      <rPr>
        <b/>
        <sz val="9"/>
        <color rgb="FF000000"/>
        <rFont val="Open Sans"/>
        <family val="2"/>
      </rPr>
      <t>Señalización</t>
    </r>
    <r>
      <rPr>
        <sz val="9"/>
        <color rgb="FF000000"/>
        <rFont val="Open Sans"/>
        <family val="2"/>
      </rPr>
      <t xml:space="preserve">
La señalización actual es confusa, con mezclas de tipos de señales, o deficiente, faltando señales en numerosos puntos de la red de senderos.
</t>
    </r>
    <r>
      <rPr>
        <b/>
        <sz val="9"/>
        <color rgb="FF000000"/>
        <rFont val="Open Sans"/>
        <family val="2"/>
      </rPr>
      <t>Cartelería</t>
    </r>
    <r>
      <rPr>
        <sz val="9"/>
        <color rgb="FF000000"/>
        <rFont val="Open Sans"/>
        <family val="2"/>
      </rPr>
      <t xml:space="preserve">
Hay postes de inicio de sendero que tienen la lámina gráfica algo deteriorada en algunas zonas. En todos ellos la información sobre la señalización del sendero se refiere a las antiguas señales, que se cambiarán por otras dentro de este Plan. Además, faltan postes de inicio de sendero en rutas existentes y nuevas rutas.
</t>
    </r>
    <r>
      <rPr>
        <b/>
        <sz val="9"/>
        <color rgb="FF000000"/>
        <rFont val="Open Sans"/>
        <family val="2"/>
      </rPr>
      <t>Limpieza</t>
    </r>
    <r>
      <rPr>
        <sz val="9"/>
        <color rgb="FF000000"/>
        <rFont val="Open Sans"/>
        <family val="2"/>
      </rPr>
      <t xml:space="preserve">
Hay tramos con restos de escombros y en algunos incluso plásticos y otras basuras. Además, el desbroce anual es obligatorio.</t>
    </r>
  </si>
  <si>
    <t>El Parque Regional Sierra de Gredos acaba de conseguir la certificación de Reserva Starlight, indicador de la calidad del cielo nocturno para la observación por parte de los aficionados. En un Plan anterior (plan de competitividad en Gredos e Iruelas) se crearon 19 miradores estelares bajo la denominación de ‘Cielos oscuros’ en algunos municipios de la zona de influencia socioeconómica del parque, incluyendo San Esteban del Valle y Villarejo del Valle. Son pequeños recintos, con vallado de madera y una estructura de hormigón en la que situar los telescopios. Junto a ellos, un panel interpretativo ayuda al visitante. Estos miradores tienen el panel interpretativo completamente deteriorado por el sol y necesitan renovarse. En el de San Esteban del Valle también está deteriorado el vallado perimetral de madera.
Además, Mombeltrán ofrece un terreno ideal para construir un nuevo punto.</t>
  </si>
  <si>
    <r>
      <t xml:space="preserve">Mirador estelar completo en Mombeltrán: 8.000 €
Renovación de paneles interpretativos deteriorados (2): 1.500 €
Renovación vallado perimetral mirador San Esteban del Valle: 500 €
</t>
    </r>
    <r>
      <rPr>
        <b/>
        <sz val="9"/>
        <color rgb="FF000000"/>
        <rFont val="Open Sans"/>
        <family val="2"/>
      </rPr>
      <t>TOTAL: 10.000 €</t>
    </r>
  </si>
  <si>
    <t>2022: mirador estelar completo en Mombeltrán, renovación de paneles interpretativos y del vallado perimetral en el de San Esteban del Valle</t>
  </si>
  <si>
    <t>La existencia de cartelería deteriorada es un punto muy negativo en los cinco pueblos (más que su ausencia). Tanto la señalética urbana como la de sitios de interés son una necesidad evidente, por lo que no requeriría más explicación. Pero ahora se trata de hacer una actuación conjunta, para contribuir a la sensación de comarca turística, por un lado, y de buscar soluciones duraderas y atractivas visualmente.</t>
  </si>
  <si>
    <r>
      <t xml:space="preserve">Contratación de un guía, 3 años: 61.000 €
Ropa de trabajo, calzado y equipamiento: 1.000 €
Ordenador, impresora: 1.000 €
Seguro accidentes y R.C. (anual): 400 €
</t>
    </r>
    <r>
      <rPr>
        <b/>
        <sz val="9"/>
        <color rgb="FF000000"/>
        <rFont val="Open Sans"/>
        <family val="2"/>
      </rPr>
      <t>TOTAL: 64.200 €</t>
    </r>
  </si>
  <si>
    <t>b8</t>
  </si>
  <si>
    <t>Completar la oferta de turismo de naturaleza con la temática botánica, poniendo en valor un arboreto existente pero con falta de mantenimiento.</t>
  </si>
  <si>
    <t>1) Adhesión a la Asociación de Ecoturismo de España (AEE), asociación sin ánimo de lucro creada en 2010 para fomentar el turismo sostenible en los espacios protegidos. Requisitos del club: existencia de un espacio protegido en el territorio, gestión demostrable del espacio protegido, planificación del turismo sostenible, comunicación y cooperación dirigida a la creación de destino, acciones formativas, creación de productos de ecoturismo genuinos.
2) Acreditación con el sello Green Destinations Awards. certificación queindica los niveles de cumplimiento (evaluados por un auditor independiente) con el
Estándar Green Destinations reconocido por la GSTC. Se requieren auditorías cada 2 años. Nos permite ser promocionados en la plataforma GoodTravel Guide, que se centra en hacer visibles los alojamientos y las actividades responsables para los viajeros, ofreciendo la certificación para PYMES.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</si>
</sst>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 &quot;€&quot;_-;\-* #,##0\ &quot;€&quot;_-;_-* &quot;-&quot;??\ &quot;€&quot;_-;_-@_-"/>
  </numFmts>
  <fonts count="22" x14ac:knownFonts="1">
    <font>
      <sz val="10"/>
      <color theme="1"/>
      <name val="Open Sans"/>
      <family val="2"/>
    </font>
    <font>
      <sz val="9"/>
      <color rgb="FF000000"/>
      <name val="Open Sans"/>
      <family val="2"/>
    </font>
    <font>
      <b/>
      <sz val="9"/>
      <color rgb="FF000000"/>
      <name val="Open Sans"/>
      <family val="2"/>
    </font>
    <font>
      <b/>
      <sz val="10"/>
      <color theme="8"/>
      <name val="Open Sans"/>
      <family val="2"/>
    </font>
    <font>
      <vertAlign val="subscript"/>
      <sz val="9"/>
      <color rgb="FF000000"/>
      <name val="Open Sans"/>
      <family val="2"/>
    </font>
    <font>
      <b/>
      <sz val="10"/>
      <color rgb="FF4472C4"/>
      <name val="Open Sans"/>
      <family val="2"/>
    </font>
    <font>
      <i/>
      <sz val="10"/>
      <color theme="1"/>
      <name val="Open Sans"/>
      <family val="2"/>
    </font>
    <font>
      <sz val="10"/>
      <color theme="1"/>
      <name val="Open Sans"/>
      <family val="2"/>
    </font>
    <font>
      <i/>
      <sz val="9"/>
      <color rgb="FF000000"/>
      <name val="Open Sans"/>
      <family val="2"/>
    </font>
    <font>
      <b/>
      <i/>
      <sz val="9"/>
      <color rgb="FF000000"/>
      <name val="Open Sans"/>
      <family val="2"/>
    </font>
    <font>
      <b/>
      <sz val="10"/>
      <color theme="0"/>
      <name val="Open Sans"/>
      <family val="2"/>
    </font>
    <font>
      <sz val="8"/>
      <color theme="1"/>
      <name val="Open Sans"/>
      <family val="2"/>
    </font>
    <font>
      <b/>
      <sz val="9"/>
      <color theme="1"/>
      <name val="Open Sans"/>
      <family val="2"/>
    </font>
    <font>
      <sz val="9"/>
      <color theme="1"/>
      <name val="Open Sans"/>
      <family val="2"/>
    </font>
    <font>
      <sz val="8"/>
      <color rgb="FF000000"/>
      <name val="Open Sans"/>
      <family val="2"/>
    </font>
    <font>
      <u/>
      <sz val="10"/>
      <color theme="1"/>
      <name val="Open Sans"/>
      <family val="2"/>
    </font>
    <font>
      <b/>
      <sz val="11"/>
      <color rgb="FF000000"/>
      <name val="Calibri"/>
      <family val="2"/>
    </font>
    <font>
      <i/>
      <sz val="11"/>
      <color rgb="FF000000"/>
      <name val="Calibri"/>
      <family val="2"/>
    </font>
    <font>
      <b/>
      <sz val="9"/>
      <name val="Open Sans"/>
      <family val="2"/>
    </font>
    <font>
      <sz val="8"/>
      <name val="Open Sans"/>
      <family val="2"/>
    </font>
    <font>
      <sz val="9"/>
      <name val="Open Sans"/>
      <family val="2"/>
    </font>
    <font>
      <sz val="9"/>
      <color theme="0"/>
      <name val="Open Sans"/>
      <family val="2"/>
    </font>
  </fonts>
  <fills count="27">
    <fill>
      <patternFill patternType="none"/>
    </fill>
    <fill>
      <patternFill patternType="gray125"/>
    </fill>
    <fill>
      <patternFill patternType="solid">
        <fgColor theme="9"/>
        <bgColor theme="9"/>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rgb="FFFFFFFF"/>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bgColor indexed="64"/>
      </patternFill>
    </fill>
    <fill>
      <patternFill patternType="solid">
        <fgColor theme="8"/>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bgColor indexed="64"/>
      </patternFill>
    </fill>
    <fill>
      <patternFill patternType="solid">
        <fgColor theme="9"/>
        <bgColor indexed="64"/>
      </patternFill>
    </fill>
    <fill>
      <patternFill patternType="solid">
        <fgColor theme="5"/>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4" tint="0.39997558519241921"/>
        <bgColor indexed="64"/>
      </patternFill>
    </fill>
  </fills>
  <borders count="21">
    <border>
      <left/>
      <right/>
      <top/>
      <bottom/>
      <diagonal/>
    </border>
    <border>
      <left style="medium">
        <color rgb="FF808080"/>
      </left>
      <right style="medium">
        <color rgb="FF808080"/>
      </right>
      <top style="medium">
        <color rgb="FF808080"/>
      </top>
      <bottom style="medium">
        <color rgb="FF808080"/>
      </bottom>
      <diagonal/>
    </border>
    <border>
      <left style="medium">
        <color rgb="FF808080"/>
      </left>
      <right/>
      <top style="medium">
        <color rgb="FF808080"/>
      </top>
      <bottom style="medium">
        <color rgb="FF808080"/>
      </bottom>
      <diagonal/>
    </border>
    <border>
      <left style="medium">
        <color rgb="FF808080"/>
      </left>
      <right style="medium">
        <color rgb="FF808080"/>
      </right>
      <top style="medium">
        <color rgb="FF808080"/>
      </top>
      <bottom/>
      <diagonal/>
    </border>
    <border>
      <left style="thin">
        <color theme="0"/>
      </left>
      <right/>
      <top style="thick">
        <color theme="0"/>
      </top>
      <bottom/>
      <diagonal/>
    </border>
    <border>
      <left style="thin">
        <color theme="0"/>
      </left>
      <right/>
      <top style="thin">
        <color theme="0"/>
      </top>
      <bottom/>
      <diagonal/>
    </border>
    <border>
      <left/>
      <right/>
      <top style="thick">
        <color theme="0"/>
      </top>
      <bottom/>
      <diagonal/>
    </border>
    <border>
      <left/>
      <right/>
      <top style="thin">
        <color theme="0"/>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right style="medium">
        <color rgb="FF808080"/>
      </right>
      <top style="medium">
        <color rgb="FF808080"/>
      </top>
      <bottom style="medium">
        <color rgb="FF808080"/>
      </bottom>
      <diagonal/>
    </border>
    <border>
      <left style="medium">
        <color rgb="FF808080"/>
      </left>
      <right/>
      <top/>
      <bottom style="medium">
        <color rgb="FF808080"/>
      </bottom>
      <diagonal/>
    </border>
    <border>
      <left/>
      <right style="medium">
        <color rgb="FF808080"/>
      </right>
      <top/>
      <bottom style="medium">
        <color rgb="FF808080"/>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178">
    <xf numFmtId="0" fontId="0" fillId="0" borderId="0" xfId="0"/>
    <xf numFmtId="0" fontId="0" fillId="0" borderId="0" xfId="0" applyAlignment="1">
      <alignment horizontal="center" vertical="top"/>
    </xf>
    <xf numFmtId="0" fontId="0" fillId="0" borderId="0" xfId="0" applyAlignment="1">
      <alignment horizontal="center"/>
    </xf>
    <xf numFmtId="0" fontId="1" fillId="0" borderId="1" xfId="0" applyFont="1" applyBorder="1" applyAlignment="1">
      <alignment vertical="center" wrapText="1"/>
    </xf>
    <xf numFmtId="0" fontId="3" fillId="0" borderId="0" xfId="0" applyFont="1" applyAlignment="1">
      <alignment horizontal="center" vertical="top"/>
    </xf>
    <xf numFmtId="0" fontId="3" fillId="0" borderId="0" xfId="0" applyFont="1" applyAlignment="1">
      <alignment horizontal="center"/>
    </xf>
    <xf numFmtId="0" fontId="1" fillId="0" borderId="1" xfId="0" applyFont="1" applyBorder="1" applyAlignment="1">
      <alignment horizontal="left" vertical="center" wrapText="1"/>
    </xf>
    <xf numFmtId="0" fontId="0" fillId="0" borderId="0" xfId="0" applyFont="1" applyFill="1" applyBorder="1" applyAlignment="1">
      <alignment horizontal="center"/>
    </xf>
    <xf numFmtId="0" fontId="5" fillId="0" borderId="0" xfId="0" applyFont="1" applyFill="1" applyBorder="1" applyAlignment="1">
      <alignment horizontal="center" vertical="top"/>
    </xf>
    <xf numFmtId="0" fontId="5" fillId="0" borderId="0" xfId="0" applyFont="1" applyFill="1" applyBorder="1" applyAlignment="1">
      <alignment horizontal="center"/>
    </xf>
    <xf numFmtId="0" fontId="0" fillId="0" borderId="0" xfId="0" applyFont="1" applyFill="1" applyBorder="1" applyAlignment="1">
      <alignment horizontal="center" vertical="top"/>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6" fillId="0" borderId="0" xfId="0" applyFont="1" applyAlignment="1">
      <alignment horizontal="right" vertical="center"/>
    </xf>
    <xf numFmtId="0" fontId="0" fillId="0" borderId="0" xfId="0" applyAlignment="1">
      <alignment horizontal="left" vertical="center"/>
    </xf>
    <xf numFmtId="44" fontId="0" fillId="0" borderId="0" xfId="1" applyFont="1" applyAlignment="1">
      <alignment horizontal="center" vertical="top"/>
    </xf>
    <xf numFmtId="44" fontId="0" fillId="0" borderId="0" xfId="1" applyFont="1" applyFill="1" applyBorder="1" applyAlignment="1">
      <alignment horizontal="center" vertical="top"/>
    </xf>
    <xf numFmtId="44" fontId="0" fillId="0" borderId="0" xfId="0" applyNumberFormat="1" applyAlignment="1">
      <alignment vertical="center"/>
    </xf>
    <xf numFmtId="44" fontId="0" fillId="0" borderId="0" xfId="1" applyFont="1" applyAlignment="1">
      <alignment vertical="center"/>
    </xf>
    <xf numFmtId="44" fontId="10" fillId="2" borderId="4" xfId="0" applyNumberFormat="1" applyFont="1" applyFill="1" applyBorder="1" applyAlignment="1">
      <alignment vertical="center"/>
    </xf>
    <xf numFmtId="44" fontId="0" fillId="0" borderId="0" xfId="0" applyNumberFormat="1"/>
    <xf numFmtId="44" fontId="0" fillId="4" borderId="5" xfId="1" applyNumberFormat="1" applyFont="1" applyFill="1" applyBorder="1" applyAlignment="1">
      <alignment vertical="center"/>
    </xf>
    <xf numFmtId="0" fontId="0" fillId="3" borderId="6" xfId="0" applyFont="1" applyFill="1" applyBorder="1" applyAlignment="1">
      <alignment vertical="center"/>
    </xf>
    <xf numFmtId="44" fontId="0" fillId="3" borderId="4" xfId="0" applyNumberFormat="1" applyFont="1" applyFill="1" applyBorder="1" applyAlignment="1">
      <alignment vertical="center"/>
    </xf>
    <xf numFmtId="0" fontId="0" fillId="4" borderId="7" xfId="0" applyFont="1" applyFill="1" applyBorder="1" applyAlignment="1">
      <alignment vertical="center"/>
    </xf>
    <xf numFmtId="0" fontId="0" fillId="3" borderId="7" xfId="0" applyFont="1" applyFill="1" applyBorder="1" applyAlignment="1">
      <alignment vertical="center"/>
    </xf>
    <xf numFmtId="44" fontId="0" fillId="3" borderId="5" xfId="1" applyNumberFormat="1" applyFont="1" applyFill="1" applyBorder="1" applyAlignment="1">
      <alignment vertical="center"/>
    </xf>
    <xf numFmtId="0" fontId="10" fillId="2" borderId="6" xfId="0" applyFont="1" applyFill="1" applyBorder="1" applyAlignment="1">
      <alignment vertical="center"/>
    </xf>
    <xf numFmtId="0" fontId="11" fillId="4" borderId="7" xfId="0" applyFont="1" applyFill="1" applyBorder="1" applyAlignment="1">
      <alignment horizontal="center" vertical="center"/>
    </xf>
    <xf numFmtId="0" fontId="0" fillId="0" borderId="0" xfId="0" pivotButton="1"/>
    <xf numFmtId="0" fontId="0" fillId="0" borderId="0" xfId="0" applyAlignment="1">
      <alignment horizontal="left"/>
    </xf>
    <xf numFmtId="9" fontId="0" fillId="0" borderId="0" xfId="2" applyFont="1"/>
    <xf numFmtId="44" fontId="0" fillId="0" borderId="0" xfId="1" applyFont="1"/>
    <xf numFmtId="44" fontId="0" fillId="0" borderId="0" xfId="1" applyFont="1" applyAlignment="1">
      <alignment horizontal="center" vertical="center"/>
    </xf>
    <xf numFmtId="0" fontId="12" fillId="5" borderId="10" xfId="0" applyFont="1" applyFill="1" applyBorder="1" applyAlignment="1">
      <alignment horizontal="center" vertical="center" wrapText="1"/>
    </xf>
    <xf numFmtId="0" fontId="12" fillId="5" borderId="8" xfId="0" applyFont="1" applyFill="1" applyBorder="1" applyAlignment="1">
      <alignment horizontal="center" vertical="center"/>
    </xf>
    <xf numFmtId="0" fontId="12" fillId="5" borderId="8" xfId="0" applyFont="1" applyFill="1" applyBorder="1" applyAlignment="1">
      <alignment horizontal="center" vertical="center" wrapText="1"/>
    </xf>
    <xf numFmtId="0" fontId="13" fillId="0" borderId="0" xfId="0" applyFont="1"/>
    <xf numFmtId="0" fontId="2" fillId="6" borderId="8" xfId="0" applyFont="1" applyFill="1" applyBorder="1" applyAlignment="1">
      <alignment horizontal="center" vertical="center" wrapText="1"/>
    </xf>
    <xf numFmtId="164" fontId="2" fillId="6" borderId="8" xfId="0" applyNumberFormat="1" applyFont="1" applyFill="1" applyBorder="1" applyAlignment="1">
      <alignment horizontal="right" vertical="center"/>
    </xf>
    <xf numFmtId="0" fontId="13" fillId="0" borderId="0" xfId="0" applyFont="1" applyAlignment="1">
      <alignment wrapText="1"/>
    </xf>
    <xf numFmtId="0" fontId="0" fillId="0" borderId="0" xfId="0" applyAlignment="1">
      <alignment wrapText="1"/>
    </xf>
    <xf numFmtId="49" fontId="0" fillId="0" borderId="0" xfId="0" applyNumberFormat="1"/>
    <xf numFmtId="49" fontId="0" fillId="0" borderId="0" xfId="0" quotePrefix="1" applyNumberFormat="1"/>
    <xf numFmtId="0" fontId="15" fillId="0" borderId="0" xfId="0" applyFont="1"/>
    <xf numFmtId="0" fontId="17" fillId="5" borderId="14" xfId="0" applyFont="1" applyFill="1" applyBorder="1" applyAlignment="1">
      <alignment vertical="center"/>
    </xf>
    <xf numFmtId="0" fontId="17" fillId="5" borderId="16" xfId="0" applyFont="1" applyFill="1" applyBorder="1" applyAlignment="1">
      <alignment vertical="center"/>
    </xf>
    <xf numFmtId="44" fontId="16" fillId="5" borderId="15" xfId="0" applyNumberFormat="1" applyFont="1" applyFill="1" applyBorder="1" applyAlignment="1">
      <alignment horizontal="center" vertical="center"/>
    </xf>
    <xf numFmtId="44" fontId="16" fillId="5" borderId="17" xfId="0" applyNumberFormat="1" applyFont="1" applyFill="1" applyBorder="1" applyAlignment="1">
      <alignment horizontal="center" vertical="center"/>
    </xf>
    <xf numFmtId="0" fontId="18" fillId="7" borderId="3" xfId="0" applyFont="1" applyFill="1" applyBorder="1" applyAlignment="1">
      <alignment horizontal="left" vertical="center"/>
    </xf>
    <xf numFmtId="0" fontId="18" fillId="8" borderId="3" xfId="0" applyFont="1" applyFill="1" applyBorder="1" applyAlignment="1">
      <alignment horizontal="left" vertical="center"/>
    </xf>
    <xf numFmtId="0" fontId="18" fillId="9" borderId="3" xfId="0" applyFont="1" applyFill="1" applyBorder="1" applyAlignment="1">
      <alignment horizontal="left" vertical="center" wrapText="1"/>
    </xf>
    <xf numFmtId="0" fontId="19" fillId="7" borderId="3" xfId="0" applyFont="1" applyFill="1" applyBorder="1" applyAlignment="1">
      <alignment horizontal="left" vertical="center" wrapText="1"/>
    </xf>
    <xf numFmtId="0" fontId="19" fillId="8" borderId="3" xfId="0" applyFont="1" applyFill="1" applyBorder="1" applyAlignment="1">
      <alignment horizontal="left" vertical="center" wrapText="1"/>
    </xf>
    <xf numFmtId="0" fontId="19" fillId="9" borderId="3" xfId="0" applyFont="1" applyFill="1" applyBorder="1" applyAlignment="1">
      <alignment horizontal="left" vertical="center" wrapText="1"/>
    </xf>
    <xf numFmtId="0" fontId="14" fillId="7" borderId="1" xfId="0" applyFont="1" applyFill="1" applyBorder="1" applyAlignment="1">
      <alignment vertical="center" wrapText="1"/>
    </xf>
    <xf numFmtId="0" fontId="0" fillId="0" borderId="0" xfId="0"/>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4" fillId="7" borderId="3" xfId="0" applyFont="1" applyFill="1" applyBorder="1" applyAlignment="1">
      <alignment vertical="center" wrapText="1"/>
    </xf>
    <xf numFmtId="0" fontId="1" fillId="0" borderId="3" xfId="0" applyFont="1" applyBorder="1" applyAlignment="1">
      <alignment vertical="center" wrapText="1"/>
    </xf>
    <xf numFmtId="0" fontId="2" fillId="7" borderId="9" xfId="0" applyFont="1" applyFill="1" applyBorder="1" applyAlignment="1">
      <alignment horizontal="center" vertical="center"/>
    </xf>
    <xf numFmtId="0" fontId="1" fillId="7" borderId="8" xfId="0" applyFont="1" applyFill="1" applyBorder="1" applyAlignment="1">
      <alignment vertical="center" wrapText="1"/>
    </xf>
    <xf numFmtId="164" fontId="1" fillId="7" borderId="8" xfId="0" applyNumberFormat="1" applyFont="1" applyFill="1" applyBorder="1" applyAlignment="1">
      <alignment horizontal="center" vertical="center"/>
    </xf>
    <xf numFmtId="0" fontId="2" fillId="7" borderId="8" xfId="0" applyFont="1" applyFill="1" applyBorder="1" applyAlignment="1">
      <alignment horizontal="center" vertical="center" wrapText="1"/>
    </xf>
    <xf numFmtId="164" fontId="2" fillId="7" borderId="8" xfId="0" applyNumberFormat="1" applyFont="1" applyFill="1" applyBorder="1" applyAlignment="1">
      <alignment horizontal="right" vertical="center"/>
    </xf>
    <xf numFmtId="0" fontId="2" fillId="12" borderId="9" xfId="0" applyFont="1" applyFill="1" applyBorder="1" applyAlignment="1">
      <alignment horizontal="center" vertical="center"/>
    </xf>
    <xf numFmtId="0" fontId="1" fillId="12" borderId="8" xfId="0" applyFont="1" applyFill="1" applyBorder="1" applyAlignment="1">
      <alignment vertical="center" wrapText="1"/>
    </xf>
    <xf numFmtId="164" fontId="1" fillId="12" borderId="8" xfId="0" applyNumberFormat="1" applyFont="1" applyFill="1" applyBorder="1" applyAlignment="1">
      <alignment horizontal="center" vertical="center"/>
    </xf>
    <xf numFmtId="0" fontId="2" fillId="12" borderId="8" xfId="0" applyFont="1" applyFill="1" applyBorder="1" applyAlignment="1">
      <alignment horizontal="center" vertical="center" wrapText="1"/>
    </xf>
    <xf numFmtId="164" fontId="2" fillId="12" borderId="8" xfId="0" applyNumberFormat="1" applyFont="1" applyFill="1" applyBorder="1" applyAlignment="1">
      <alignment horizontal="right" vertical="center"/>
    </xf>
    <xf numFmtId="0" fontId="2" fillId="13" borderId="9" xfId="0" applyFont="1" applyFill="1" applyBorder="1" applyAlignment="1">
      <alignment horizontal="center" vertical="center"/>
    </xf>
    <xf numFmtId="0" fontId="1" fillId="13" borderId="8" xfId="0" applyFont="1" applyFill="1" applyBorder="1" applyAlignment="1">
      <alignment vertical="center" wrapText="1"/>
    </xf>
    <xf numFmtId="164" fontId="1" fillId="13" borderId="8" xfId="0" applyNumberFormat="1" applyFont="1" applyFill="1" applyBorder="1" applyAlignment="1">
      <alignment horizontal="center" vertical="center"/>
    </xf>
    <xf numFmtId="0" fontId="2" fillId="13" borderId="8" xfId="0" applyFont="1" applyFill="1" applyBorder="1" applyAlignment="1">
      <alignment horizontal="center" vertical="center" wrapText="1"/>
    </xf>
    <xf numFmtId="164" fontId="2" fillId="13" borderId="8" xfId="0" applyNumberFormat="1" applyFont="1" applyFill="1" applyBorder="1" applyAlignment="1">
      <alignment horizontal="right" vertical="center"/>
    </xf>
    <xf numFmtId="0" fontId="2" fillId="17" borderId="9" xfId="0" applyFont="1" applyFill="1" applyBorder="1" applyAlignment="1">
      <alignment horizontal="center" vertical="center"/>
    </xf>
    <xf numFmtId="0" fontId="1" fillId="17" borderId="8" xfId="0" applyFont="1" applyFill="1" applyBorder="1" applyAlignment="1">
      <alignment vertical="center" wrapText="1"/>
    </xf>
    <xf numFmtId="164" fontId="1" fillId="17" borderId="8" xfId="0" applyNumberFormat="1" applyFont="1" applyFill="1" applyBorder="1" applyAlignment="1">
      <alignment horizontal="center" vertical="center"/>
    </xf>
    <xf numFmtId="0" fontId="2" fillId="17" borderId="8" xfId="0" applyFont="1" applyFill="1" applyBorder="1" applyAlignment="1">
      <alignment horizontal="center" vertical="center" wrapText="1"/>
    </xf>
    <xf numFmtId="164" fontId="2" fillId="17" borderId="8" xfId="0" applyNumberFormat="1" applyFont="1" applyFill="1" applyBorder="1" applyAlignment="1">
      <alignment horizontal="right" vertical="center"/>
    </xf>
    <xf numFmtId="0" fontId="2" fillId="18" borderId="9" xfId="0" applyFont="1" applyFill="1" applyBorder="1" applyAlignment="1">
      <alignment horizontal="center" vertical="center"/>
    </xf>
    <xf numFmtId="0" fontId="1" fillId="18" borderId="8" xfId="0" applyFont="1" applyFill="1" applyBorder="1" applyAlignment="1">
      <alignment vertical="center" wrapText="1"/>
    </xf>
    <xf numFmtId="164" fontId="1" fillId="18" borderId="8" xfId="0" applyNumberFormat="1" applyFont="1" applyFill="1" applyBorder="1" applyAlignment="1">
      <alignment horizontal="center" vertical="center"/>
    </xf>
    <xf numFmtId="0" fontId="2" fillId="18" borderId="8" xfId="0" applyFont="1" applyFill="1" applyBorder="1" applyAlignment="1">
      <alignment horizontal="center" vertical="center" wrapText="1"/>
    </xf>
    <xf numFmtId="164" fontId="2" fillId="18" borderId="8" xfId="0" applyNumberFormat="1" applyFont="1" applyFill="1" applyBorder="1" applyAlignment="1">
      <alignment horizontal="right" vertical="center"/>
    </xf>
    <xf numFmtId="0" fontId="21" fillId="20" borderId="2" xfId="0" applyFont="1" applyFill="1" applyBorder="1" applyAlignment="1">
      <alignment vertical="center"/>
    </xf>
    <xf numFmtId="0" fontId="21" fillId="20" borderId="18" xfId="0" applyFont="1" applyFill="1" applyBorder="1" applyAlignment="1">
      <alignment vertical="center"/>
    </xf>
    <xf numFmtId="0" fontId="19" fillId="13" borderId="3" xfId="0" applyFont="1" applyFill="1" applyBorder="1" applyAlignment="1">
      <alignment horizontal="left" vertical="center" wrapText="1"/>
    </xf>
    <xf numFmtId="0" fontId="18" fillId="13" borderId="3" xfId="0" applyFont="1" applyFill="1" applyBorder="1" applyAlignment="1">
      <alignment horizontal="left" vertical="center"/>
    </xf>
    <xf numFmtId="0" fontId="19" fillId="12" borderId="3" xfId="0" applyFont="1" applyFill="1" applyBorder="1" applyAlignment="1">
      <alignment horizontal="left" vertical="center" wrapText="1"/>
    </xf>
    <xf numFmtId="0" fontId="18" fillId="12" borderId="3" xfId="0" applyFont="1" applyFill="1" applyBorder="1" applyAlignment="1">
      <alignment horizontal="left" vertical="center"/>
    </xf>
    <xf numFmtId="0" fontId="19" fillId="16" borderId="3" xfId="0" applyFont="1" applyFill="1" applyBorder="1" applyAlignment="1">
      <alignment horizontal="left" vertical="center" wrapText="1"/>
    </xf>
    <xf numFmtId="0" fontId="18" fillId="16" borderId="3" xfId="0" applyFont="1" applyFill="1" applyBorder="1" applyAlignment="1">
      <alignment horizontal="left" vertical="center"/>
    </xf>
    <xf numFmtId="0" fontId="19" fillId="22" borderId="3" xfId="0" applyFont="1" applyFill="1" applyBorder="1" applyAlignment="1">
      <alignment horizontal="left" vertical="center" wrapText="1"/>
    </xf>
    <xf numFmtId="0" fontId="21" fillId="11" borderId="2" xfId="0" applyFont="1" applyFill="1" applyBorder="1" applyAlignment="1">
      <alignment vertical="center"/>
    </xf>
    <xf numFmtId="0" fontId="21" fillId="11" borderId="18" xfId="0" applyFont="1" applyFill="1" applyBorder="1" applyAlignment="1">
      <alignment vertical="center"/>
    </xf>
    <xf numFmtId="0" fontId="19" fillId="18" borderId="3" xfId="0" applyFont="1" applyFill="1" applyBorder="1" applyAlignment="1">
      <alignment horizontal="left" vertical="center" wrapText="1"/>
    </xf>
    <xf numFmtId="0" fontId="18" fillId="18" borderId="3" xfId="0" applyFont="1" applyFill="1" applyBorder="1" applyAlignment="1">
      <alignment horizontal="left" vertical="center"/>
    </xf>
    <xf numFmtId="0" fontId="19" fillId="17" borderId="3" xfId="0" applyFont="1" applyFill="1" applyBorder="1" applyAlignment="1">
      <alignment horizontal="left" vertical="center" wrapText="1"/>
    </xf>
    <xf numFmtId="0" fontId="18" fillId="17" borderId="3" xfId="0" applyFont="1" applyFill="1" applyBorder="1" applyAlignment="1">
      <alignment horizontal="left" vertical="center"/>
    </xf>
    <xf numFmtId="0" fontId="19" fillId="23" borderId="3" xfId="0" applyFont="1" applyFill="1" applyBorder="1" applyAlignment="1">
      <alignment horizontal="left" vertical="center" wrapText="1"/>
    </xf>
    <xf numFmtId="0" fontId="18" fillId="23" borderId="3" xfId="0" applyFont="1" applyFill="1" applyBorder="1" applyAlignment="1">
      <alignment horizontal="left" vertical="center"/>
    </xf>
    <xf numFmtId="0" fontId="18" fillId="22" borderId="3" xfId="0" applyFont="1" applyFill="1" applyBorder="1" applyAlignment="1">
      <alignment horizontal="left" vertical="center" wrapText="1"/>
    </xf>
    <xf numFmtId="0" fontId="14" fillId="12" borderId="1" xfId="0" applyFont="1" applyFill="1" applyBorder="1" applyAlignment="1">
      <alignment vertical="center" wrapText="1"/>
    </xf>
    <xf numFmtId="0" fontId="14" fillId="12" borderId="3" xfId="0" applyFont="1" applyFill="1" applyBorder="1" applyAlignment="1">
      <alignment vertical="center" wrapText="1"/>
    </xf>
    <xf numFmtId="0" fontId="20" fillId="10" borderId="2" xfId="0" applyFont="1" applyFill="1" applyBorder="1" applyAlignment="1">
      <alignment vertical="center"/>
    </xf>
    <xf numFmtId="0" fontId="20" fillId="10" borderId="18" xfId="0" applyFont="1" applyFill="1" applyBorder="1" applyAlignment="1">
      <alignment vertical="center"/>
    </xf>
    <xf numFmtId="0" fontId="19" fillId="15" borderId="3" xfId="0" applyFont="1" applyFill="1" applyBorder="1" applyAlignment="1">
      <alignment horizontal="left" vertical="center" wrapText="1"/>
    </xf>
    <xf numFmtId="0" fontId="18" fillId="15" borderId="3" xfId="0" applyFont="1" applyFill="1" applyBorder="1" applyAlignment="1">
      <alignment horizontal="left" vertical="center" wrapText="1"/>
    </xf>
    <xf numFmtId="0" fontId="14" fillId="13" borderId="1" xfId="0" applyFont="1" applyFill="1" applyBorder="1" applyAlignment="1">
      <alignment vertical="center" wrapText="1"/>
    </xf>
    <xf numFmtId="0" fontId="14" fillId="13" borderId="3" xfId="0" applyFont="1" applyFill="1" applyBorder="1" applyAlignment="1">
      <alignment vertical="center" wrapText="1"/>
    </xf>
    <xf numFmtId="0" fontId="21" fillId="19" borderId="2" xfId="0" applyFont="1" applyFill="1" applyBorder="1" applyAlignment="1">
      <alignment vertical="center"/>
    </xf>
    <xf numFmtId="0" fontId="21" fillId="19" borderId="18" xfId="0" applyFont="1" applyFill="1" applyBorder="1" applyAlignment="1">
      <alignment vertical="center"/>
    </xf>
    <xf numFmtId="0" fontId="19" fillId="24" borderId="3" xfId="0" applyFont="1" applyFill="1" applyBorder="1" applyAlignment="1">
      <alignment horizontal="left" vertical="center" wrapText="1"/>
    </xf>
    <xf numFmtId="0" fontId="18" fillId="24" borderId="3" xfId="0" applyFont="1" applyFill="1" applyBorder="1" applyAlignment="1">
      <alignment horizontal="left" vertical="center"/>
    </xf>
    <xf numFmtId="0" fontId="19" fillId="25" borderId="3" xfId="0" applyFont="1" applyFill="1" applyBorder="1" applyAlignment="1">
      <alignment horizontal="left" vertical="center" wrapText="1"/>
    </xf>
    <xf numFmtId="0" fontId="18" fillId="25" borderId="3" xfId="0" applyFont="1" applyFill="1" applyBorder="1" applyAlignment="1">
      <alignment horizontal="left" vertical="center"/>
    </xf>
    <xf numFmtId="0" fontId="19" fillId="26" borderId="3" xfId="0" applyFont="1" applyFill="1" applyBorder="1" applyAlignment="1">
      <alignment horizontal="left" vertical="center" wrapText="1"/>
    </xf>
    <xf numFmtId="0" fontId="18" fillId="26" borderId="3" xfId="0" applyFont="1" applyFill="1" applyBorder="1" applyAlignment="1">
      <alignment horizontal="left" vertical="center" wrapText="1"/>
    </xf>
    <xf numFmtId="0" fontId="14" fillId="18" borderId="1" xfId="0" applyFont="1" applyFill="1" applyBorder="1" applyAlignment="1">
      <alignment vertical="center" wrapText="1"/>
    </xf>
    <xf numFmtId="0" fontId="14" fillId="18" borderId="3" xfId="0" applyFont="1" applyFill="1" applyBorder="1" applyAlignment="1">
      <alignment vertical="center" wrapText="1"/>
    </xf>
    <xf numFmtId="0" fontId="21" fillId="21" borderId="2" xfId="0" applyFont="1" applyFill="1" applyBorder="1" applyAlignment="1">
      <alignment vertical="center"/>
    </xf>
    <xf numFmtId="0" fontId="21" fillId="21" borderId="18" xfId="0" applyFont="1" applyFill="1" applyBorder="1" applyAlignment="1">
      <alignment vertical="center"/>
    </xf>
    <xf numFmtId="0" fontId="19" fillId="14" borderId="3" xfId="0" applyFont="1" applyFill="1" applyBorder="1" applyAlignment="1">
      <alignment horizontal="left" vertical="center" wrapText="1"/>
    </xf>
    <xf numFmtId="0" fontId="18" fillId="14" borderId="3" xfId="0" applyFont="1" applyFill="1" applyBorder="1" applyAlignment="1">
      <alignment horizontal="left" vertical="center" wrapText="1"/>
    </xf>
    <xf numFmtId="0" fontId="14" fillId="17" borderId="1" xfId="0" applyFont="1" applyFill="1" applyBorder="1" applyAlignment="1">
      <alignment vertical="center" wrapText="1"/>
    </xf>
    <xf numFmtId="0" fontId="14" fillId="17" borderId="3" xfId="0" applyFont="1" applyFill="1" applyBorder="1" applyAlignment="1">
      <alignment vertical="center" wrapText="1"/>
    </xf>
    <xf numFmtId="0" fontId="10" fillId="2" borderId="0" xfId="0" applyFont="1" applyFill="1" applyBorder="1" applyAlignment="1">
      <alignment horizontal="center" vertical="center"/>
    </xf>
    <xf numFmtId="0" fontId="2" fillId="7" borderId="11"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2" fillId="12" borderId="11" xfId="0" applyFont="1" applyFill="1" applyBorder="1" applyAlignment="1">
      <alignment horizontal="center" vertical="center" wrapText="1"/>
    </xf>
    <xf numFmtId="0" fontId="2" fillId="12" borderId="12" xfId="0" applyFont="1" applyFill="1" applyBorder="1" applyAlignment="1">
      <alignment horizontal="center" vertical="center" wrapText="1"/>
    </xf>
    <xf numFmtId="0" fontId="2" fillId="12" borderId="13" xfId="0" applyFont="1" applyFill="1" applyBorder="1" applyAlignment="1">
      <alignment horizontal="center" vertical="center" wrapText="1"/>
    </xf>
    <xf numFmtId="0" fontId="2" fillId="13" borderId="11" xfId="0" applyFont="1" applyFill="1" applyBorder="1" applyAlignment="1">
      <alignment horizontal="center" vertical="center" wrapText="1"/>
    </xf>
    <xf numFmtId="0" fontId="2" fillId="13" borderId="12" xfId="0" applyFont="1" applyFill="1" applyBorder="1" applyAlignment="1">
      <alignment horizontal="center" vertical="center" wrapText="1"/>
    </xf>
    <xf numFmtId="0" fontId="2" fillId="13" borderId="13" xfId="0" applyFont="1" applyFill="1" applyBorder="1" applyAlignment="1">
      <alignment horizontal="center" vertical="center" wrapText="1"/>
    </xf>
    <xf numFmtId="0" fontId="2" fillId="18" borderId="11" xfId="0" applyFont="1" applyFill="1" applyBorder="1" applyAlignment="1">
      <alignment horizontal="center" vertical="center" wrapText="1"/>
    </xf>
    <xf numFmtId="0" fontId="2" fillId="18" borderId="12" xfId="0" applyFont="1" applyFill="1" applyBorder="1" applyAlignment="1">
      <alignment horizontal="center" vertical="center" wrapText="1"/>
    </xf>
    <xf numFmtId="0" fontId="2" fillId="18" borderId="13" xfId="0" applyFont="1" applyFill="1" applyBorder="1" applyAlignment="1">
      <alignment horizontal="center" vertical="center" wrapText="1"/>
    </xf>
    <xf numFmtId="0" fontId="2" fillId="17" borderId="11" xfId="0" applyFont="1" applyFill="1" applyBorder="1" applyAlignment="1">
      <alignment horizontal="center" vertical="center" wrapText="1"/>
    </xf>
    <xf numFmtId="0" fontId="2" fillId="17" borderId="12" xfId="0" applyFont="1" applyFill="1" applyBorder="1" applyAlignment="1">
      <alignment horizontal="center" vertical="center" wrapText="1"/>
    </xf>
    <xf numFmtId="0" fontId="2" fillId="17" borderId="13" xfId="0" applyFont="1" applyFill="1" applyBorder="1" applyAlignment="1">
      <alignment horizontal="center" vertical="center" wrapText="1"/>
    </xf>
    <xf numFmtId="0" fontId="1" fillId="7" borderId="2" xfId="0" applyFont="1" applyFill="1" applyBorder="1" applyAlignment="1">
      <alignment horizontal="left" vertical="center" wrapText="1"/>
    </xf>
    <xf numFmtId="0" fontId="1" fillId="7" borderId="18" xfId="0" applyFont="1" applyFill="1" applyBorder="1" applyAlignment="1">
      <alignment horizontal="left" vertical="center" wrapText="1"/>
    </xf>
    <xf numFmtId="0" fontId="1" fillId="7" borderId="19" xfId="0" applyFont="1" applyFill="1" applyBorder="1" applyAlignment="1">
      <alignment horizontal="left" vertical="center" wrapText="1"/>
    </xf>
    <xf numFmtId="0" fontId="1" fillId="7" borderId="20" xfId="0" applyFont="1" applyFill="1" applyBorder="1" applyAlignment="1">
      <alignment horizontal="left" vertical="center" wrapText="1"/>
    </xf>
    <xf numFmtId="0" fontId="1" fillId="7" borderId="19" xfId="0" applyFont="1" applyFill="1" applyBorder="1" applyAlignment="1">
      <alignment horizontal="left" vertical="center"/>
    </xf>
    <xf numFmtId="0" fontId="1" fillId="7" borderId="20" xfId="0" applyFont="1" applyFill="1" applyBorder="1" applyAlignment="1">
      <alignment horizontal="left" vertical="center"/>
    </xf>
    <xf numFmtId="0" fontId="1" fillId="0" borderId="2" xfId="0" applyFont="1" applyBorder="1" applyAlignment="1">
      <alignment horizontal="left" vertical="top" wrapText="1"/>
    </xf>
    <xf numFmtId="0" fontId="1" fillId="0" borderId="18" xfId="0" applyFont="1" applyBorder="1" applyAlignment="1">
      <alignment horizontal="left" vertical="top" wrapText="1"/>
    </xf>
    <xf numFmtId="0" fontId="1" fillId="12" borderId="2" xfId="0" applyFont="1" applyFill="1" applyBorder="1" applyAlignment="1">
      <alignment horizontal="left" vertical="center" wrapText="1"/>
    </xf>
    <xf numFmtId="0" fontId="1" fillId="12" borderId="18" xfId="0" applyFont="1" applyFill="1" applyBorder="1" applyAlignment="1">
      <alignment horizontal="left" vertical="center" wrapText="1"/>
    </xf>
    <xf numFmtId="0" fontId="1" fillId="12" borderId="19" xfId="0" applyFont="1" applyFill="1" applyBorder="1" applyAlignment="1">
      <alignment horizontal="left" vertical="center" wrapText="1"/>
    </xf>
    <xf numFmtId="0" fontId="1" fillId="12" borderId="20" xfId="0" applyFont="1" applyFill="1" applyBorder="1" applyAlignment="1">
      <alignment horizontal="left" vertical="center" wrapText="1"/>
    </xf>
    <xf numFmtId="0" fontId="1" fillId="12" borderId="19" xfId="0" applyFont="1" applyFill="1" applyBorder="1" applyAlignment="1">
      <alignment horizontal="left" vertical="center"/>
    </xf>
    <xf numFmtId="0" fontId="1" fillId="12" borderId="20" xfId="0" applyFont="1" applyFill="1" applyBorder="1" applyAlignment="1">
      <alignment horizontal="left" vertical="center"/>
    </xf>
    <xf numFmtId="0" fontId="1" fillId="13" borderId="2" xfId="0" applyFont="1" applyFill="1" applyBorder="1" applyAlignment="1">
      <alignment horizontal="left" vertical="center" wrapText="1"/>
    </xf>
    <xf numFmtId="0" fontId="1" fillId="13" borderId="18" xfId="0" applyFont="1" applyFill="1" applyBorder="1" applyAlignment="1">
      <alignment horizontal="left" vertical="center" wrapText="1"/>
    </xf>
    <xf numFmtId="0" fontId="1" fillId="13" borderId="19" xfId="0" applyFont="1" applyFill="1" applyBorder="1" applyAlignment="1">
      <alignment horizontal="left" vertical="center" wrapText="1"/>
    </xf>
    <xf numFmtId="0" fontId="1" fillId="13" borderId="20" xfId="0" applyFont="1" applyFill="1" applyBorder="1" applyAlignment="1">
      <alignment horizontal="left" vertical="center" wrapText="1"/>
    </xf>
    <xf numFmtId="0" fontId="1" fillId="13" borderId="19" xfId="0" applyFont="1" applyFill="1" applyBorder="1" applyAlignment="1">
      <alignment horizontal="left" vertical="center"/>
    </xf>
    <xf numFmtId="0" fontId="1" fillId="13" borderId="20" xfId="0" applyFont="1" applyFill="1" applyBorder="1" applyAlignment="1">
      <alignment horizontal="left" vertical="center"/>
    </xf>
    <xf numFmtId="0" fontId="1" fillId="18" borderId="2" xfId="0" applyFont="1" applyFill="1" applyBorder="1" applyAlignment="1">
      <alignment horizontal="left" vertical="center" wrapText="1"/>
    </xf>
    <xf numFmtId="0" fontId="1" fillId="18" borderId="18" xfId="0" applyFont="1" applyFill="1" applyBorder="1" applyAlignment="1">
      <alignment horizontal="left" vertical="center" wrapText="1"/>
    </xf>
    <xf numFmtId="0" fontId="1" fillId="18" borderId="19" xfId="0" applyFont="1" applyFill="1" applyBorder="1" applyAlignment="1">
      <alignment horizontal="left" vertical="center" wrapText="1"/>
    </xf>
    <xf numFmtId="0" fontId="1" fillId="18" borderId="20" xfId="0" applyFont="1" applyFill="1" applyBorder="1" applyAlignment="1">
      <alignment horizontal="left" vertical="center" wrapText="1"/>
    </xf>
    <xf numFmtId="0" fontId="1" fillId="18" borderId="19" xfId="0" applyFont="1" applyFill="1" applyBorder="1" applyAlignment="1">
      <alignment horizontal="left" vertical="center"/>
    </xf>
    <xf numFmtId="0" fontId="1" fillId="18" borderId="20" xfId="0" applyFont="1" applyFill="1" applyBorder="1" applyAlignment="1">
      <alignment horizontal="left" vertical="center"/>
    </xf>
    <xf numFmtId="0" fontId="1" fillId="17" borderId="2" xfId="0" applyFont="1" applyFill="1" applyBorder="1" applyAlignment="1">
      <alignment horizontal="left" vertical="center" wrapText="1"/>
    </xf>
    <xf numFmtId="0" fontId="1" fillId="17" borderId="18" xfId="0" applyFont="1" applyFill="1" applyBorder="1" applyAlignment="1">
      <alignment horizontal="left" vertical="center" wrapText="1"/>
    </xf>
    <xf numFmtId="0" fontId="1" fillId="17" borderId="19" xfId="0" applyFont="1" applyFill="1" applyBorder="1" applyAlignment="1">
      <alignment horizontal="left" vertical="center" wrapText="1"/>
    </xf>
    <xf numFmtId="0" fontId="1" fillId="17" borderId="20" xfId="0" applyFont="1" applyFill="1" applyBorder="1" applyAlignment="1">
      <alignment horizontal="left" vertical="center" wrapText="1"/>
    </xf>
    <xf numFmtId="0" fontId="1" fillId="17" borderId="19" xfId="0" applyFont="1" applyFill="1" applyBorder="1" applyAlignment="1">
      <alignment horizontal="left" vertical="center"/>
    </xf>
    <xf numFmtId="0" fontId="1" fillId="17" borderId="20" xfId="0" applyFont="1" applyFill="1" applyBorder="1" applyAlignment="1">
      <alignment horizontal="left" vertical="center"/>
    </xf>
  </cellXfs>
  <cellStyles count="3">
    <cellStyle name="Moneda" xfId="1" builtinId="4"/>
    <cellStyle name="Normal" xfId="0" builtinId="0"/>
    <cellStyle name="Porcentaje" xfId="2" builtinId="5"/>
  </cellStyles>
  <dxfs count="59">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rgb="FF70AD47"/>
      </font>
    </dxf>
    <dxf>
      <font>
        <color rgb="FFC00000"/>
      </font>
    </dxf>
    <dxf>
      <font>
        <color theme="9"/>
      </font>
    </dxf>
    <dxf>
      <font>
        <color rgb="FFC00000"/>
      </font>
    </dxf>
    <dxf>
      <font>
        <color theme="9"/>
      </font>
    </dxf>
    <dxf>
      <font>
        <color rgb="FFC00000"/>
      </font>
    </dxf>
    <dxf>
      <font>
        <color rgb="FF70AD47"/>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font>
        <color theme="9"/>
      </font>
    </dxf>
    <dxf>
      <font>
        <color rgb="FFC00000"/>
      </font>
    </dxf>
    <dxf>
      <numFmt numFmtId="34" formatCode="_-* #,##0.00\ &quot;€&quot;_-;\-* #,##0.00\ &quot;€&quot;_-;_-* &quot;-&quot;??\ &quot;€&quot;_-;_-@_-"/>
      <alignment horizontal="general" vertical="center" textRotation="0" wrapText="0" indent="0" justifyLastLine="0" shrinkToFit="0" readingOrder="0"/>
    </dxf>
    <dxf>
      <alignment horizontal="general"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numFmt numFmtId="34" formatCode="_-* #,##0.00\ &quot;€&quot;_-;\-* #,##0.00\ &quot;€&quot;_-;_-* &quot;-&quot;??\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pivotCacheDefinition" Target="pivotCache/pivotCacheDefinition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usuario" refreshedDate="44328.606242476853" createdVersion="5" refreshedVersion="5" minRefreshableVersion="3" recordCount="21">
  <cacheSource type="worksheet">
    <worksheetSource name="Tabla1"/>
  </cacheSource>
  <cacheFields count="7">
    <cacheField name="Título" numFmtId="0">
      <sharedItems/>
    </cacheField>
    <cacheField name="eje programático" numFmtId="0">
      <sharedItems count="5">
        <s v="Turismo activo sostenible"/>
        <s v="Patrimonio, cultura y folclore como recursos turísticos"/>
        <s v="Promoción turística, presencia en Internet y ferias"/>
        <s v="Movilidad sostenible"/>
        <s v="Auditoría medioambiental y acreditaciones"/>
      </sharedItems>
    </cacheField>
    <cacheField name="número" numFmtId="0">
      <sharedItems containsSemiMixedTypes="0" containsString="0" containsNumber="1" containsInteger="1" minValue="1" maxValue="5"/>
    </cacheField>
    <cacheField name="número2" numFmtId="0">
      <sharedItems containsSemiMixedTypes="0" containsString="0" containsNumber="1" containsInteger="1" minValue="1" maxValue="8"/>
    </cacheField>
    <cacheField name="número3" numFmtId="0">
      <sharedItems/>
    </cacheField>
    <cacheField name="redactado" numFmtId="0">
      <sharedItems/>
    </cacheField>
    <cacheField name="presupuesto" numFmtId="44">
      <sharedItems containsSemiMixedTypes="0" containsString="0" containsNumber="1" containsInteger="1" minValue="0" maxValue="115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
  <r>
    <s v="Renovación y modernización de la red de senderos del Barranco"/>
    <x v="0"/>
    <n v="1"/>
    <n v="1"/>
    <s v="1.1"/>
    <s v="sí"/>
    <n v="80000"/>
  </r>
  <r>
    <s v="Guía de senderismo, rutas de naturaleza, temáticas y urbanas"/>
    <x v="0"/>
    <n v="1"/>
    <n v="2"/>
    <s v="1.2"/>
    <s v="sí"/>
    <n v="64200"/>
  </r>
  <r>
    <s v="Libro de excursiones y folletos de rutas de senderismo"/>
    <x v="0"/>
    <n v="1"/>
    <n v="3"/>
    <s v="1.3"/>
    <s v="sí"/>
    <n v="8000"/>
  </r>
  <r>
    <s v="Miradores estelares"/>
    <x v="0"/>
    <n v="1"/>
    <n v="4"/>
    <s v="1.4"/>
    <s v="sí"/>
    <n v="10000"/>
  </r>
  <r>
    <s v="Turismo de naturaleza - observación de fauna de interés"/>
    <x v="0"/>
    <n v="1"/>
    <n v="5"/>
    <s v="1.5"/>
    <s v="sí"/>
    <n v="11000"/>
  </r>
  <r>
    <s v="Turismo de naturaleza (flora): Arboreto"/>
    <x v="0"/>
    <n v="1"/>
    <n v="6"/>
    <s v="1.6"/>
    <s v="sí"/>
    <n v="22000"/>
  </r>
  <r>
    <s v="Puntos BTT y Ciclomontañada"/>
    <x v="0"/>
    <n v="1"/>
    <n v="7"/>
    <s v="1.7"/>
    <s v="sí"/>
    <n v="49000"/>
  </r>
  <r>
    <s v="Área de servicio para autocaravanas"/>
    <x v="0"/>
    <n v="1"/>
    <n v="8"/>
    <s v="1.8"/>
    <s v="sí"/>
    <n v="25500"/>
  </r>
  <r>
    <s v="Museos etnográfico y urbano"/>
    <x v="1"/>
    <n v="2"/>
    <n v="1"/>
    <s v="2.1"/>
    <s v="sí"/>
    <n v="74500"/>
  </r>
  <r>
    <s v="Adecuación de acceso y adarve del Castillo de Mombeltrán"/>
    <x v="1"/>
    <n v="2"/>
    <n v="2"/>
    <s v="2.2"/>
    <s v="sí"/>
    <n v="103000"/>
  </r>
  <r>
    <s v="Promoción del turismo asociado a la trashumancia y recursos etnográficos y folclóricos"/>
    <x v="1"/>
    <n v="2"/>
    <n v="3"/>
    <s v="2.3"/>
    <s v="sí"/>
    <n v="20000"/>
  </r>
  <r>
    <s v="Rutas urbanas temáticas y señalización de monumentos con códigos QR"/>
    <x v="1"/>
    <n v="2"/>
    <n v="4"/>
    <s v="2.4"/>
    <s v="sí"/>
    <n v="10500"/>
  </r>
  <r>
    <s v="Renovación de la señalización de los monumentos y urbana"/>
    <x v="1"/>
    <n v="2"/>
    <n v="5"/>
    <s v="2.5"/>
    <s v="sí"/>
    <n v="27000"/>
  </r>
  <r>
    <s v="Presencia en internet: web de turismo Cinco Villas"/>
    <x v="2"/>
    <n v="3"/>
    <n v="1"/>
    <s v="3.1"/>
    <s v="sí"/>
    <n v="71000"/>
  </r>
  <r>
    <s v="Puntos de información turística con venta de productos locales"/>
    <x v="2"/>
    <n v="3"/>
    <n v="2"/>
    <s v="3.2"/>
    <s v="sí"/>
    <n v="39000"/>
  </r>
  <r>
    <s v="Puntos de recarga de vehículos eléctricos"/>
    <x v="3"/>
    <n v="4"/>
    <n v="1"/>
    <s v="4.1"/>
    <s v="sí"/>
    <n v="9000"/>
  </r>
  <r>
    <s v="Implantación de miniflota de coche compartido 0 emisiones, electrificación municipal y aplicación de movilidad rural"/>
    <x v="3"/>
    <n v="4"/>
    <n v="2"/>
    <s v="4.2"/>
    <s v="sí"/>
    <n v="115000"/>
  </r>
  <r>
    <s v="Auditorías medioambientales de las empresas turísticas"/>
    <x v="4"/>
    <n v="5"/>
    <n v="1"/>
    <s v="5.1"/>
    <s v="sí"/>
    <n v="27600"/>
  </r>
  <r>
    <s v="Adhesión al Club de Ecoturismo y acreditación Green Destination"/>
    <x v="4"/>
    <n v="5"/>
    <n v="2"/>
    <s v="5.2"/>
    <s v="sí"/>
    <n v="14000"/>
  </r>
  <r>
    <s v="Incorporación del destino al Sistema Europeo de Indicadores Turísticos (ETIS) y de las empresas a la Carta Europea para el Turismo Sostenible en Áreas Protegidas (CETS)"/>
    <x v="4"/>
    <n v="5"/>
    <n v="3"/>
    <s v="5.3"/>
    <s v="sí"/>
    <n v="0"/>
  </r>
  <r>
    <s v="Turismo Clima Neutral"/>
    <x v="4"/>
    <n v="5"/>
    <n v="4"/>
    <s v="5.4"/>
    <s v="sí"/>
    <n v="3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B27:C33" firstHeaderRow="1" firstDataRow="1" firstDataCol="1"/>
  <pivotFields count="7">
    <pivotField showAll="0"/>
    <pivotField axis="axisRow" showAll="0">
      <items count="6">
        <item x="0"/>
        <item x="1"/>
        <item x="2"/>
        <item x="3"/>
        <item x="4"/>
        <item t="default"/>
      </items>
    </pivotField>
    <pivotField showAll="0"/>
    <pivotField showAll="0"/>
    <pivotField showAll="0"/>
    <pivotField showAll="0"/>
    <pivotField dataField="1" numFmtId="44" showAll="0"/>
  </pivotFields>
  <rowFields count="1">
    <field x="1"/>
  </rowFields>
  <rowItems count="6">
    <i>
      <x/>
    </i>
    <i>
      <x v="1"/>
    </i>
    <i>
      <x v="2"/>
    </i>
    <i>
      <x v="3"/>
    </i>
    <i>
      <x v="4"/>
    </i>
    <i t="grand">
      <x/>
    </i>
  </rowItems>
  <colItems count="1">
    <i/>
  </colItems>
  <dataFields count="1">
    <dataField name="Suma de presupuesto" fld="6" baseField="0" baseItem="0" numFmtId="44"/>
  </dataFields>
  <formats count="1">
    <format dxfId="5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a1" displayName="Tabla1" ref="A1:G23" totalsRowCount="1" headerRowDxfId="57" dataDxfId="56">
  <autoFilter ref="A1:G22"/>
  <sortState ref="A2:G21">
    <sortCondition ref="E2"/>
  </sortState>
  <tableColumns count="7">
    <tableColumn id="1" name="Título" totalsRowLabel="Total Actuaciones" dataDxfId="55" totalsRowDxfId="54"/>
    <tableColumn id="2" name="eje programático" dataDxfId="53" totalsRowDxfId="52"/>
    <tableColumn id="5" name="número" totalsRowFunction="count" dataDxfId="51" totalsRowDxfId="50">
      <calculatedColumnFormula>VLOOKUP(B2,$I$7:$J$11,2,FALSE)</calculatedColumnFormula>
    </tableColumn>
    <tableColumn id="3" name="número2" dataDxfId="49" totalsRowDxfId="48"/>
    <tableColumn id="6" name="número3" dataDxfId="47" totalsRowDxfId="46">
      <calculatedColumnFormula>C2&amp;"."&amp;D2</calculatedColumnFormula>
    </tableColumn>
    <tableColumn id="4" name="redactado" dataDxfId="45" totalsRowDxfId="44"/>
    <tableColumn id="7" name="presupuesto" totalsRowFunction="sum" dataDxfId="43" totalsRowDxfId="42"/>
  </tableColumns>
  <tableStyleInfo name="TableStyleMedium13"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election activeCell="A21" sqref="A21"/>
    </sheetView>
  </sheetViews>
  <sheetFormatPr baseColWidth="10" defaultRowHeight="15" x14ac:dyDescent="0.3"/>
  <cols>
    <col min="1" max="1" width="59.140625" style="11" customWidth="1"/>
    <col min="2" max="2" width="47.85546875" style="11" customWidth="1"/>
    <col min="3" max="3" width="21.42578125" style="11" customWidth="1"/>
    <col min="4" max="4" width="11.42578125" style="13"/>
    <col min="5" max="5" width="11.85546875" style="13" customWidth="1"/>
    <col min="6" max="6" width="11.42578125" style="11"/>
    <col min="7" max="7" width="15" style="11" bestFit="1" customWidth="1"/>
    <col min="8" max="16384" width="11.42578125" style="11"/>
  </cols>
  <sheetData>
    <row r="1" spans="1:11" x14ac:dyDescent="0.3">
      <c r="A1" s="11" t="s">
        <v>1</v>
      </c>
      <c r="B1" s="11" t="s">
        <v>64</v>
      </c>
      <c r="C1" s="11" t="s">
        <v>65</v>
      </c>
      <c r="D1" s="13" t="s">
        <v>78</v>
      </c>
      <c r="E1" s="13" t="s">
        <v>79</v>
      </c>
      <c r="F1" s="13" t="s">
        <v>66</v>
      </c>
      <c r="G1" s="11" t="s">
        <v>93</v>
      </c>
    </row>
    <row r="2" spans="1:11" x14ac:dyDescent="0.3">
      <c r="A2" s="12" t="s">
        <v>2</v>
      </c>
      <c r="B2" s="12" t="s">
        <v>73</v>
      </c>
      <c r="C2" s="14">
        <f t="shared" ref="C2:C21" si="0">VLOOKUP(B2,$I$7:$J$11,2,FALSE)</f>
        <v>1</v>
      </c>
      <c r="D2" s="13">
        <v>1</v>
      </c>
      <c r="E2" s="13" t="str">
        <f t="shared" ref="E2:E21" si="1">C2&amp;"."&amp;D2</f>
        <v>1.1</v>
      </c>
      <c r="F2" s="13" t="s">
        <v>67</v>
      </c>
      <c r="G2" s="19">
        <f>sendas!C11</f>
        <v>80000</v>
      </c>
      <c r="I2" s="15" t="s">
        <v>87</v>
      </c>
      <c r="J2" s="16">
        <f>C23</f>
        <v>21</v>
      </c>
      <c r="K2" s="11" t="s">
        <v>88</v>
      </c>
    </row>
    <row r="3" spans="1:11" x14ac:dyDescent="0.3">
      <c r="A3" s="12" t="s">
        <v>72</v>
      </c>
      <c r="B3" s="12" t="s">
        <v>73</v>
      </c>
      <c r="C3" s="14">
        <f t="shared" si="0"/>
        <v>1</v>
      </c>
      <c r="D3" s="13">
        <v>2</v>
      </c>
      <c r="E3" s="13" t="str">
        <f t="shared" si="1"/>
        <v>1.2</v>
      </c>
      <c r="F3" s="13" t="s">
        <v>67</v>
      </c>
      <c r="G3" s="19">
        <f>guía!C11</f>
        <v>64200</v>
      </c>
      <c r="I3" s="15"/>
      <c r="J3" s="16"/>
    </row>
    <row r="4" spans="1:11" x14ac:dyDescent="0.3">
      <c r="A4" s="12" t="s">
        <v>15</v>
      </c>
      <c r="B4" s="12" t="s">
        <v>73</v>
      </c>
      <c r="C4" s="14">
        <f t="shared" si="0"/>
        <v>1</v>
      </c>
      <c r="D4" s="13">
        <v>3</v>
      </c>
      <c r="E4" s="13" t="str">
        <f t="shared" si="1"/>
        <v>1.3</v>
      </c>
      <c r="F4" s="13" t="s">
        <v>67</v>
      </c>
      <c r="G4" s="19">
        <f>folletos!C11</f>
        <v>8000</v>
      </c>
      <c r="I4" s="15" t="s">
        <v>67</v>
      </c>
      <c r="J4" s="16">
        <f>COUNTIF(F:F,"="&amp;I4)</f>
        <v>21</v>
      </c>
    </row>
    <row r="5" spans="1:11" x14ac:dyDescent="0.3">
      <c r="A5" s="12" t="s">
        <v>31</v>
      </c>
      <c r="B5" s="12" t="s">
        <v>73</v>
      </c>
      <c r="C5" s="14">
        <f t="shared" si="0"/>
        <v>1</v>
      </c>
      <c r="D5" s="13">
        <v>4</v>
      </c>
      <c r="E5" s="13" t="str">
        <f t="shared" si="1"/>
        <v>1.4</v>
      </c>
      <c r="F5" s="13" t="s">
        <v>67</v>
      </c>
      <c r="G5" s="19">
        <f>miradorestelar!C11</f>
        <v>10000</v>
      </c>
      <c r="I5" s="15" t="s">
        <v>68</v>
      </c>
      <c r="J5" s="16">
        <f>COUNTIF(F:F,"="&amp;I5)</f>
        <v>0</v>
      </c>
    </row>
    <row r="6" spans="1:11" x14ac:dyDescent="0.3">
      <c r="A6" s="12" t="s">
        <v>250</v>
      </c>
      <c r="B6" s="12" t="s">
        <v>73</v>
      </c>
      <c r="C6" s="14">
        <f t="shared" si="0"/>
        <v>1</v>
      </c>
      <c r="D6" s="13">
        <v>5</v>
      </c>
      <c r="E6" s="13" t="str">
        <f t="shared" si="1"/>
        <v>1.5</v>
      </c>
      <c r="F6" s="13" t="s">
        <v>67</v>
      </c>
      <c r="G6" s="20">
        <f>observ.aves!C11</f>
        <v>11000</v>
      </c>
    </row>
    <row r="7" spans="1:11" x14ac:dyDescent="0.3">
      <c r="A7" s="12" t="s">
        <v>262</v>
      </c>
      <c r="B7" s="12" t="s">
        <v>73</v>
      </c>
      <c r="C7" s="14">
        <f t="shared" si="0"/>
        <v>1</v>
      </c>
      <c r="D7" s="13">
        <v>6</v>
      </c>
      <c r="E7" s="13" t="str">
        <f t="shared" si="1"/>
        <v>1.6</v>
      </c>
      <c r="F7" s="13" t="s">
        <v>67</v>
      </c>
      <c r="G7" s="20">
        <f>fotofauna!C11</f>
        <v>22000</v>
      </c>
      <c r="I7" s="11" t="s">
        <v>73</v>
      </c>
      <c r="J7" s="11">
        <v>1</v>
      </c>
    </row>
    <row r="8" spans="1:11" x14ac:dyDescent="0.3">
      <c r="A8" s="12" t="s">
        <v>241</v>
      </c>
      <c r="B8" s="12" t="s">
        <v>73</v>
      </c>
      <c r="C8" s="14">
        <f t="shared" si="0"/>
        <v>1</v>
      </c>
      <c r="D8" s="13">
        <v>7</v>
      </c>
      <c r="E8" s="13" t="str">
        <f t="shared" si="1"/>
        <v>1.7</v>
      </c>
      <c r="F8" s="13" t="s">
        <v>67</v>
      </c>
      <c r="G8" s="19">
        <f>BTT!C11</f>
        <v>49000</v>
      </c>
      <c r="I8" s="11" t="s">
        <v>74</v>
      </c>
      <c r="J8" s="11">
        <v>2</v>
      </c>
    </row>
    <row r="9" spans="1:11" x14ac:dyDescent="0.3">
      <c r="A9" s="12" t="s">
        <v>37</v>
      </c>
      <c r="B9" s="12" t="s">
        <v>73</v>
      </c>
      <c r="C9" s="14">
        <f t="shared" si="0"/>
        <v>1</v>
      </c>
      <c r="D9" s="13">
        <v>8</v>
      </c>
      <c r="E9" s="13" t="str">
        <f t="shared" si="1"/>
        <v>1.8</v>
      </c>
      <c r="F9" s="13" t="s">
        <v>67</v>
      </c>
      <c r="G9" s="19">
        <f>autocaravanas!C11</f>
        <v>25500</v>
      </c>
      <c r="I9" s="11" t="s">
        <v>77</v>
      </c>
      <c r="J9" s="11">
        <v>3</v>
      </c>
    </row>
    <row r="10" spans="1:11" x14ac:dyDescent="0.3">
      <c r="A10" s="12" t="s">
        <v>232</v>
      </c>
      <c r="B10" s="12" t="s">
        <v>74</v>
      </c>
      <c r="C10" s="14">
        <f t="shared" si="0"/>
        <v>2</v>
      </c>
      <c r="D10" s="13">
        <v>1</v>
      </c>
      <c r="E10" s="13" t="str">
        <f t="shared" si="1"/>
        <v>2.1</v>
      </c>
      <c r="F10" s="13" t="s">
        <v>67</v>
      </c>
      <c r="G10" s="20">
        <f>museos!C11</f>
        <v>74500</v>
      </c>
      <c r="I10" s="11" t="s">
        <v>70</v>
      </c>
      <c r="J10" s="11">
        <v>4</v>
      </c>
    </row>
    <row r="11" spans="1:11" x14ac:dyDescent="0.3">
      <c r="A11" s="12" t="s">
        <v>24</v>
      </c>
      <c r="B11" s="12" t="s">
        <v>74</v>
      </c>
      <c r="C11" s="14">
        <f t="shared" si="0"/>
        <v>2</v>
      </c>
      <c r="D11" s="13">
        <v>2</v>
      </c>
      <c r="E11" s="13" t="str">
        <f t="shared" si="1"/>
        <v>2.2</v>
      </c>
      <c r="F11" s="13" t="s">
        <v>67</v>
      </c>
      <c r="G11" s="19">
        <f>Castillo!C11</f>
        <v>103000</v>
      </c>
      <c r="I11" s="11" t="s">
        <v>75</v>
      </c>
      <c r="J11" s="11">
        <v>5</v>
      </c>
    </row>
    <row r="12" spans="1:11" ht="30" x14ac:dyDescent="0.3">
      <c r="A12" s="12" t="s">
        <v>69</v>
      </c>
      <c r="B12" s="12" t="s">
        <v>74</v>
      </c>
      <c r="C12" s="14">
        <f t="shared" si="0"/>
        <v>2</v>
      </c>
      <c r="D12" s="13">
        <v>3</v>
      </c>
      <c r="E12" s="13" t="str">
        <f t="shared" si="1"/>
        <v>2.3</v>
      </c>
      <c r="F12" s="13" t="s">
        <v>67</v>
      </c>
      <c r="G12" s="19">
        <f>trashumancia!C11</f>
        <v>20000</v>
      </c>
      <c r="I12"/>
    </row>
    <row r="13" spans="1:11" ht="30" x14ac:dyDescent="0.3">
      <c r="A13" s="12" t="s">
        <v>124</v>
      </c>
      <c r="B13" s="12" t="s">
        <v>74</v>
      </c>
      <c r="C13" s="14">
        <f t="shared" si="0"/>
        <v>2</v>
      </c>
      <c r="D13" s="13">
        <v>4</v>
      </c>
      <c r="E13" s="13" t="str">
        <f t="shared" si="1"/>
        <v>2.4</v>
      </c>
      <c r="F13" s="13" t="s">
        <v>67</v>
      </c>
      <c r="G13" s="19">
        <f>rutasurbanas!C11</f>
        <v>10500</v>
      </c>
      <c r="I13"/>
    </row>
    <row r="14" spans="1:11" x14ac:dyDescent="0.3">
      <c r="A14" s="12" t="s">
        <v>76</v>
      </c>
      <c r="B14" s="12" t="s">
        <v>74</v>
      </c>
      <c r="C14" s="14">
        <f t="shared" si="0"/>
        <v>2</v>
      </c>
      <c r="D14" s="13">
        <v>5</v>
      </c>
      <c r="E14" s="13" t="str">
        <f t="shared" si="1"/>
        <v>2.5</v>
      </c>
      <c r="F14" s="13" t="s">
        <v>67</v>
      </c>
      <c r="G14" s="19">
        <f>señaléticaurbana!C11</f>
        <v>27000</v>
      </c>
      <c r="I14"/>
    </row>
    <row r="15" spans="1:11" x14ac:dyDescent="0.3">
      <c r="A15" s="12" t="s">
        <v>89</v>
      </c>
      <c r="B15" s="12" t="s">
        <v>77</v>
      </c>
      <c r="C15" s="14">
        <f t="shared" si="0"/>
        <v>3</v>
      </c>
      <c r="D15" s="13">
        <v>1</v>
      </c>
      <c r="E15" s="13" t="str">
        <f t="shared" si="1"/>
        <v>3.1</v>
      </c>
      <c r="F15" s="13" t="s">
        <v>67</v>
      </c>
      <c r="G15" s="19">
        <f>web!C11</f>
        <v>71000</v>
      </c>
      <c r="I15"/>
    </row>
    <row r="16" spans="1:11" x14ac:dyDescent="0.3">
      <c r="A16" s="12" t="s">
        <v>102</v>
      </c>
      <c r="B16" s="12" t="s">
        <v>77</v>
      </c>
      <c r="C16" s="14">
        <f t="shared" si="0"/>
        <v>3</v>
      </c>
      <c r="D16" s="13">
        <v>2</v>
      </c>
      <c r="E16" s="13" t="str">
        <f t="shared" si="1"/>
        <v>3.2</v>
      </c>
      <c r="F16" s="13" t="s">
        <v>67</v>
      </c>
      <c r="G16" s="19">
        <f>PIT!C11</f>
        <v>39000</v>
      </c>
      <c r="I16"/>
    </row>
    <row r="17" spans="1:9" x14ac:dyDescent="0.3">
      <c r="A17" s="12" t="s">
        <v>25</v>
      </c>
      <c r="B17" s="12" t="s">
        <v>70</v>
      </c>
      <c r="C17" s="14">
        <f t="shared" si="0"/>
        <v>4</v>
      </c>
      <c r="D17" s="13">
        <v>1</v>
      </c>
      <c r="E17" s="13" t="str">
        <f t="shared" si="1"/>
        <v>4.1</v>
      </c>
      <c r="F17" s="13" t="s">
        <v>67</v>
      </c>
      <c r="G17" s="19">
        <f>puntorecarga!C11</f>
        <v>9000</v>
      </c>
      <c r="I17"/>
    </row>
    <row r="18" spans="1:9" ht="30" x14ac:dyDescent="0.3">
      <c r="A18" s="43" t="s">
        <v>147</v>
      </c>
      <c r="B18" s="12" t="s">
        <v>70</v>
      </c>
      <c r="C18" s="14">
        <f t="shared" si="0"/>
        <v>4</v>
      </c>
      <c r="D18" s="13">
        <v>2</v>
      </c>
      <c r="E18" s="13" t="str">
        <f t="shared" si="1"/>
        <v>4.2</v>
      </c>
      <c r="F18" s="13" t="s">
        <v>67</v>
      </c>
      <c r="G18" s="19">
        <f>'cochecom.'!C11</f>
        <v>115000</v>
      </c>
      <c r="I18"/>
    </row>
    <row r="19" spans="1:9" x14ac:dyDescent="0.3">
      <c r="A19" s="12" t="s">
        <v>49</v>
      </c>
      <c r="B19" s="12" t="s">
        <v>75</v>
      </c>
      <c r="C19" s="14">
        <f t="shared" si="0"/>
        <v>5</v>
      </c>
      <c r="D19" s="13">
        <v>1</v>
      </c>
      <c r="E19" s="13" t="str">
        <f t="shared" si="1"/>
        <v>5.1</v>
      </c>
      <c r="F19" s="13" t="s">
        <v>67</v>
      </c>
      <c r="G19" s="19">
        <f>audit.med.amb.!C11</f>
        <v>27600</v>
      </c>
      <c r="I19"/>
    </row>
    <row r="20" spans="1:9" x14ac:dyDescent="0.3">
      <c r="A20" s="12" t="s">
        <v>56</v>
      </c>
      <c r="B20" s="12" t="s">
        <v>75</v>
      </c>
      <c r="C20" s="14">
        <f t="shared" si="0"/>
        <v>5</v>
      </c>
      <c r="D20" s="13">
        <v>2</v>
      </c>
      <c r="E20" s="13" t="str">
        <f t="shared" si="1"/>
        <v>5.2</v>
      </c>
      <c r="F20" s="13" t="s">
        <v>67</v>
      </c>
      <c r="G20" s="19">
        <f>acreditaciones!C11</f>
        <v>14000</v>
      </c>
      <c r="I20"/>
    </row>
    <row r="21" spans="1:9" ht="45" x14ac:dyDescent="0.3">
      <c r="A21" s="12" t="s">
        <v>71</v>
      </c>
      <c r="B21" s="12" t="s">
        <v>75</v>
      </c>
      <c r="C21" s="14">
        <f t="shared" si="0"/>
        <v>5</v>
      </c>
      <c r="D21" s="13">
        <v>3</v>
      </c>
      <c r="E21" s="13" t="str">
        <f t="shared" si="1"/>
        <v>5.3</v>
      </c>
      <c r="F21" s="13" t="s">
        <v>67</v>
      </c>
      <c r="G21" s="19">
        <f>ETIS.CETS!C11</f>
        <v>0</v>
      </c>
      <c r="I21"/>
    </row>
    <row r="22" spans="1:9" x14ac:dyDescent="0.3">
      <c r="A22" s="12" t="s">
        <v>203</v>
      </c>
      <c r="B22" s="12" t="s">
        <v>75</v>
      </c>
      <c r="C22" s="14">
        <f>VLOOKUP(B22,$I$7:$J$11,2,FALSE)</f>
        <v>5</v>
      </c>
      <c r="D22" s="13">
        <v>4</v>
      </c>
      <c r="E22" s="13" t="str">
        <f>C22&amp;"."&amp;D22</f>
        <v>5.4</v>
      </c>
      <c r="F22" s="13" t="s">
        <v>67</v>
      </c>
      <c r="G22" s="19">
        <f>climaneutral!C11</f>
        <v>300</v>
      </c>
    </row>
    <row r="23" spans="1:9" x14ac:dyDescent="0.3">
      <c r="A23" s="12" t="s">
        <v>125</v>
      </c>
      <c r="B23" s="12"/>
      <c r="C23" s="14">
        <f>SUBTOTAL(103,C2:C22)</f>
        <v>21</v>
      </c>
      <c r="F23" s="13"/>
      <c r="G23" s="19">
        <f>SUBTOTAL(109,G2:G22)</f>
        <v>780600</v>
      </c>
    </row>
    <row r="27" spans="1:9" x14ac:dyDescent="0.3">
      <c r="B27" s="31" t="s">
        <v>132</v>
      </c>
      <c r="C27" t="s">
        <v>134</v>
      </c>
      <c r="D27"/>
    </row>
    <row r="28" spans="1:9" x14ac:dyDescent="0.3">
      <c r="B28" s="32" t="s">
        <v>73</v>
      </c>
      <c r="C28" s="22">
        <v>269700</v>
      </c>
      <c r="D28" s="33">
        <f>C28/$C$33</f>
        <v>0.34550345887778633</v>
      </c>
    </row>
    <row r="29" spans="1:9" x14ac:dyDescent="0.3">
      <c r="B29" s="32" t="s">
        <v>74</v>
      </c>
      <c r="C29" s="22">
        <v>235000</v>
      </c>
      <c r="D29" s="33">
        <f t="shared" ref="D29:D32" si="2">C29/$C$33</f>
        <v>0.3010504739943633</v>
      </c>
    </row>
    <row r="30" spans="1:9" x14ac:dyDescent="0.3">
      <c r="B30" s="32" t="s">
        <v>77</v>
      </c>
      <c r="C30" s="22">
        <v>110000</v>
      </c>
      <c r="D30" s="33">
        <f t="shared" si="2"/>
        <v>0.14091724314629772</v>
      </c>
    </row>
    <row r="31" spans="1:9" x14ac:dyDescent="0.3">
      <c r="B31" s="32" t="s">
        <v>70</v>
      </c>
      <c r="C31" s="22">
        <v>124000</v>
      </c>
      <c r="D31" s="33">
        <f t="shared" si="2"/>
        <v>0.15885216500128108</v>
      </c>
    </row>
    <row r="32" spans="1:9" x14ac:dyDescent="0.3">
      <c r="B32" s="32" t="s">
        <v>75</v>
      </c>
      <c r="C32" s="22">
        <v>41900</v>
      </c>
      <c r="D32" s="33">
        <f t="shared" si="2"/>
        <v>5.3676658980271588E-2</v>
      </c>
    </row>
    <row r="33" spans="2:4" x14ac:dyDescent="0.3">
      <c r="B33" s="32" t="s">
        <v>133</v>
      </c>
      <c r="C33" s="22">
        <v>780600</v>
      </c>
      <c r="D33"/>
    </row>
    <row r="34" spans="2:4" x14ac:dyDescent="0.3">
      <c r="B34"/>
      <c r="C34"/>
      <c r="D34"/>
    </row>
    <row r="35" spans="2:4" x14ac:dyDescent="0.3">
      <c r="B35"/>
      <c r="C35"/>
      <c r="D35"/>
    </row>
    <row r="36" spans="2:4" x14ac:dyDescent="0.3">
      <c r="B36"/>
      <c r="C36"/>
      <c r="D36"/>
    </row>
    <row r="37" spans="2:4" x14ac:dyDescent="0.3">
      <c r="B37"/>
      <c r="C37"/>
      <c r="D37"/>
    </row>
    <row r="38" spans="2:4" x14ac:dyDescent="0.3">
      <c r="B38"/>
      <c r="C38"/>
      <c r="D38"/>
    </row>
    <row r="39" spans="2:4" x14ac:dyDescent="0.3">
      <c r="B39"/>
      <c r="C39"/>
      <c r="D39"/>
    </row>
    <row r="40" spans="2:4" x14ac:dyDescent="0.3">
      <c r="B40"/>
      <c r="C40"/>
      <c r="D40"/>
    </row>
    <row r="41" spans="2:4" x14ac:dyDescent="0.3">
      <c r="B41"/>
      <c r="C41"/>
      <c r="D41"/>
    </row>
    <row r="42" spans="2:4" x14ac:dyDescent="0.3">
      <c r="B42"/>
      <c r="C42"/>
      <c r="D42"/>
    </row>
    <row r="43" spans="2:4" x14ac:dyDescent="0.3">
      <c r="B43"/>
      <c r="C43"/>
      <c r="D43"/>
    </row>
    <row r="44" spans="2:4" x14ac:dyDescent="0.3">
      <c r="B44"/>
      <c r="C44"/>
      <c r="D44"/>
    </row>
  </sheetData>
  <sortState ref="I7:J11">
    <sortCondition ref="J2:J6"/>
  </sortState>
  <pageMargins left="0.7" right="0.7" top="0.75" bottom="0.75" header="0.3" footer="0.3"/>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B9" sqref="B9"/>
    </sheetView>
  </sheetViews>
  <sheetFormatPr baseColWidth="10" defaultRowHeight="15" x14ac:dyDescent="0.3"/>
  <cols>
    <col min="1" max="1" width="14.28515625" style="58" customWidth="1"/>
    <col min="2" max="2" width="69.7109375" style="58" customWidth="1"/>
    <col min="3" max="3" width="11.5703125" style="2" bestFit="1" customWidth="1"/>
    <col min="4" max="4" width="11.5703125" style="4" bestFit="1" customWidth="1"/>
    <col min="5" max="5" width="6.28515625" style="5" bestFit="1" customWidth="1"/>
  </cols>
  <sheetData>
    <row r="1" spans="1:6" ht="15.75" thickBot="1" x14ac:dyDescent="0.35">
      <c r="A1" s="88" t="s">
        <v>0</v>
      </c>
      <c r="B1" s="89"/>
    </row>
    <row r="2" spans="1:6" ht="15.75" thickBot="1" x14ac:dyDescent="0.35">
      <c r="A2" s="54" t="s">
        <v>185</v>
      </c>
      <c r="B2" s="51" t="str">
        <f>VLOOKUP(B4,listado!A:E,5,FALSE)</f>
        <v>1.6</v>
      </c>
    </row>
    <row r="3" spans="1:6" ht="26.25" thickBot="1" x14ac:dyDescent="0.35">
      <c r="A3" s="55" t="s">
        <v>186</v>
      </c>
      <c r="B3" s="52" t="str">
        <f>VLOOKUP(B4,listado!A:E,2,FALSE)</f>
        <v>Turismo activo sostenible</v>
      </c>
    </row>
    <row r="4" spans="1:6" ht="15.75" thickBot="1" x14ac:dyDescent="0.35">
      <c r="A4" s="56" t="s">
        <v>187</v>
      </c>
      <c r="B4" s="53" t="s">
        <v>262</v>
      </c>
    </row>
    <row r="5" spans="1:6" ht="15.75" thickBot="1" x14ac:dyDescent="0.35">
      <c r="A5" s="57" t="s">
        <v>188</v>
      </c>
      <c r="B5" s="60">
        <v>1.2</v>
      </c>
      <c r="C5" s="2" t="s">
        <v>7</v>
      </c>
      <c r="D5" s="4" t="s">
        <v>8</v>
      </c>
    </row>
    <row r="6" spans="1:6" ht="100.5" thickBot="1" x14ac:dyDescent="0.35">
      <c r="A6" s="57" t="s">
        <v>189</v>
      </c>
      <c r="B6" s="59" t="s">
        <v>255</v>
      </c>
      <c r="C6" s="1">
        <f>LEN(B6)</f>
        <v>485</v>
      </c>
      <c r="D6" s="4">
        <v>1000</v>
      </c>
      <c r="E6" s="4" t="str">
        <f>IF(C6&lt;=D6,"ok","mal")</f>
        <v>ok</v>
      </c>
    </row>
    <row r="7" spans="1:6" ht="29.25" thickBot="1" x14ac:dyDescent="0.35">
      <c r="A7" s="57" t="s">
        <v>190</v>
      </c>
      <c r="B7" s="59" t="s">
        <v>256</v>
      </c>
      <c r="C7" s="1">
        <f>LEN(B7)</f>
        <v>139</v>
      </c>
      <c r="D7" s="4">
        <v>650</v>
      </c>
      <c r="E7" s="4" t="str">
        <f t="shared" ref="E7:E13" si="0">IF(C7&lt;=D7,"ok","mal")</f>
        <v>ok</v>
      </c>
    </row>
    <row r="8" spans="1:6" ht="29.25" thickBot="1" x14ac:dyDescent="0.35">
      <c r="A8" s="57" t="s">
        <v>191</v>
      </c>
      <c r="B8" s="59" t="s">
        <v>272</v>
      </c>
      <c r="C8" s="1">
        <f t="shared" ref="C8:C12" si="1">LEN(B8)</f>
        <v>143</v>
      </c>
      <c r="D8" s="4">
        <v>250</v>
      </c>
      <c r="E8" s="4" t="str">
        <f t="shared" si="0"/>
        <v>ok</v>
      </c>
    </row>
    <row r="9" spans="1:6" ht="15.75" thickBot="1" x14ac:dyDescent="0.35">
      <c r="A9" s="57" t="s">
        <v>192</v>
      </c>
      <c r="B9" s="59" t="s">
        <v>257</v>
      </c>
      <c r="E9" s="4"/>
    </row>
    <row r="10" spans="1:6" ht="26.25" thickBot="1" x14ac:dyDescent="0.35">
      <c r="A10" s="57" t="s">
        <v>193</v>
      </c>
      <c r="B10" s="59" t="s">
        <v>258</v>
      </c>
      <c r="E10" s="4"/>
    </row>
    <row r="11" spans="1:6" ht="29.25" thickBot="1" x14ac:dyDescent="0.35">
      <c r="A11" s="57" t="s">
        <v>194</v>
      </c>
      <c r="B11" s="59" t="s">
        <v>259</v>
      </c>
      <c r="C11" s="1">
        <v>22000</v>
      </c>
      <c r="E11" s="4"/>
    </row>
    <row r="12" spans="1:6" ht="26.25" thickBot="1" x14ac:dyDescent="0.35">
      <c r="A12" s="57" t="s">
        <v>195</v>
      </c>
      <c r="B12" s="59"/>
      <c r="C12" s="1">
        <f t="shared" si="1"/>
        <v>0</v>
      </c>
      <c r="D12" s="4">
        <v>600</v>
      </c>
      <c r="E12" s="4" t="str">
        <f t="shared" si="0"/>
        <v>ok</v>
      </c>
    </row>
    <row r="13" spans="1:6" ht="43.5" thickBot="1" x14ac:dyDescent="0.35">
      <c r="A13" s="57" t="s">
        <v>196</v>
      </c>
      <c r="B13" s="59" t="s">
        <v>261</v>
      </c>
      <c r="C13" s="1">
        <f>LEN(B13)</f>
        <v>165</v>
      </c>
      <c r="D13" s="4">
        <v>500</v>
      </c>
      <c r="E13" s="4" t="str">
        <f t="shared" si="0"/>
        <v>ok</v>
      </c>
    </row>
    <row r="14" spans="1:6" ht="29.25" thickBot="1" x14ac:dyDescent="0.35">
      <c r="A14" s="61" t="s">
        <v>197</v>
      </c>
      <c r="B14" s="62" t="s">
        <v>260</v>
      </c>
      <c r="C14" s="35">
        <v>3000</v>
      </c>
      <c r="D14" s="35">
        <v>19000</v>
      </c>
      <c r="E14" s="35">
        <v>0</v>
      </c>
      <c r="F14" s="13" t="str">
        <f>IF(SUM(C14:E14)=C11,"ok","mal")</f>
        <v>ok</v>
      </c>
    </row>
    <row r="15" spans="1:6" ht="15.75" thickBot="1" x14ac:dyDescent="0.35">
      <c r="A15" s="146" t="s">
        <v>136</v>
      </c>
      <c r="B15" s="147"/>
      <c r="C15"/>
    </row>
    <row r="16" spans="1:6" ht="15.75" thickBot="1" x14ac:dyDescent="0.35">
      <c r="A16" s="152" t="s">
        <v>140</v>
      </c>
      <c r="B16" s="153"/>
      <c r="C16"/>
    </row>
    <row r="17" spans="1:3" ht="15.75" thickBot="1" x14ac:dyDescent="0.35">
      <c r="A17" s="148" t="s">
        <v>137</v>
      </c>
      <c r="B17" s="149"/>
      <c r="C17"/>
    </row>
    <row r="18" spans="1:3" ht="15.75" thickBot="1" x14ac:dyDescent="0.35">
      <c r="A18" s="152" t="s">
        <v>140</v>
      </c>
      <c r="B18" s="153"/>
      <c r="C18"/>
    </row>
    <row r="19" spans="1:3" ht="15.75" thickBot="1" x14ac:dyDescent="0.35">
      <c r="A19" s="150" t="s">
        <v>138</v>
      </c>
      <c r="B19" s="151"/>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31" priority="1" operator="equal">
      <formula>"mal"</formula>
    </cfRule>
    <cfRule type="cellIs" dxfId="30" priority="2" operator="equal">
      <formula>"ok"</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B14" sqref="B14"/>
    </sheetView>
  </sheetViews>
  <sheetFormatPr baseColWidth="10" defaultRowHeight="15" x14ac:dyDescent="0.3"/>
  <cols>
    <col min="1" max="1" width="14.28515625" style="58" customWidth="1"/>
    <col min="2" max="2" width="69.7109375" style="58" customWidth="1"/>
    <col min="3" max="3" width="11.5703125" style="2" bestFit="1" customWidth="1"/>
    <col min="4" max="4" width="10.5703125" style="4" bestFit="1" customWidth="1"/>
    <col min="5" max="5" width="10.5703125" style="5" bestFit="1" customWidth="1"/>
  </cols>
  <sheetData>
    <row r="1" spans="1:6" ht="15.75" thickBot="1" x14ac:dyDescent="0.35">
      <c r="A1" s="88" t="s">
        <v>0</v>
      </c>
      <c r="B1" s="89"/>
    </row>
    <row r="2" spans="1:6" ht="15.75" thickBot="1" x14ac:dyDescent="0.35">
      <c r="A2" s="54" t="s">
        <v>185</v>
      </c>
      <c r="B2" s="51" t="str">
        <f>VLOOKUP(B4,listado!A:E,5,FALSE)</f>
        <v>1.7</v>
      </c>
    </row>
    <row r="3" spans="1:6" ht="26.25" thickBot="1" x14ac:dyDescent="0.35">
      <c r="A3" s="55" t="s">
        <v>186</v>
      </c>
      <c r="B3" s="52" t="str">
        <f>VLOOKUP(B4,listado!A:E,2,FALSE)</f>
        <v>Turismo activo sostenible</v>
      </c>
    </row>
    <row r="4" spans="1:6" ht="15.75" thickBot="1" x14ac:dyDescent="0.35">
      <c r="A4" s="56" t="s">
        <v>187</v>
      </c>
      <c r="B4" s="53" t="s">
        <v>241</v>
      </c>
    </row>
    <row r="5" spans="1:6" ht="15.75" thickBot="1" x14ac:dyDescent="0.35">
      <c r="A5" s="57" t="s">
        <v>188</v>
      </c>
      <c r="B5" s="60" t="s">
        <v>81</v>
      </c>
      <c r="C5" s="2" t="s">
        <v>7</v>
      </c>
      <c r="D5" s="4" t="s">
        <v>8</v>
      </c>
    </row>
    <row r="6" spans="1:6" ht="171.75" thickBot="1" x14ac:dyDescent="0.35">
      <c r="A6" s="57" t="s">
        <v>189</v>
      </c>
      <c r="B6" s="59" t="s">
        <v>242</v>
      </c>
      <c r="C6" s="1">
        <f>LEN(B6)</f>
        <v>895</v>
      </c>
      <c r="D6" s="4">
        <v>1000</v>
      </c>
      <c r="E6" s="4" t="str">
        <f>IF(C6&lt;=D6,"ok","mal")</f>
        <v>ok</v>
      </c>
    </row>
    <row r="7" spans="1:6" ht="57.75" thickBot="1" x14ac:dyDescent="0.35">
      <c r="A7" s="57" t="s">
        <v>190</v>
      </c>
      <c r="B7" s="59" t="s">
        <v>82</v>
      </c>
      <c r="C7" s="1">
        <f>LEN(B7)</f>
        <v>289</v>
      </c>
      <c r="D7" s="4">
        <v>650</v>
      </c>
      <c r="E7" s="4" t="str">
        <f t="shared" ref="E7:E13" si="0">IF(C7&lt;=D7,"ok","mal")</f>
        <v>ok</v>
      </c>
    </row>
    <row r="8" spans="1:6" ht="43.5" thickBot="1" x14ac:dyDescent="0.35">
      <c r="A8" s="57" t="s">
        <v>191</v>
      </c>
      <c r="B8" s="59" t="s">
        <v>243</v>
      </c>
      <c r="C8" s="1">
        <f t="shared" ref="C8:C12" si="1">LEN(B8)</f>
        <v>191</v>
      </c>
      <c r="D8" s="4">
        <v>250</v>
      </c>
      <c r="E8" s="4" t="str">
        <f t="shared" si="0"/>
        <v>ok</v>
      </c>
    </row>
    <row r="9" spans="1:6" ht="29.25" thickBot="1" x14ac:dyDescent="0.35">
      <c r="A9" s="57" t="s">
        <v>192</v>
      </c>
      <c r="B9" s="59" t="s">
        <v>244</v>
      </c>
      <c r="E9" s="4"/>
    </row>
    <row r="10" spans="1:6" ht="29.25" thickBot="1" x14ac:dyDescent="0.35">
      <c r="A10" s="57" t="s">
        <v>193</v>
      </c>
      <c r="B10" s="59" t="s">
        <v>245</v>
      </c>
      <c r="E10" s="4"/>
    </row>
    <row r="11" spans="1:6" ht="57.75" thickBot="1" x14ac:dyDescent="0.35">
      <c r="A11" s="57" t="s">
        <v>194</v>
      </c>
      <c r="B11" s="59" t="s">
        <v>246</v>
      </c>
      <c r="C11" s="17">
        <v>49000</v>
      </c>
      <c r="E11" s="4"/>
    </row>
    <row r="12" spans="1:6" ht="26.25" thickBot="1" x14ac:dyDescent="0.35">
      <c r="A12" s="57" t="s">
        <v>195</v>
      </c>
      <c r="B12" s="59"/>
      <c r="C12" s="1">
        <f t="shared" si="1"/>
        <v>0</v>
      </c>
      <c r="D12" s="4">
        <v>600</v>
      </c>
      <c r="E12" s="4" t="str">
        <f t="shared" si="0"/>
        <v>ok</v>
      </c>
    </row>
    <row r="13" spans="1:6" ht="86.25" thickBot="1" x14ac:dyDescent="0.35">
      <c r="A13" s="57" t="s">
        <v>196</v>
      </c>
      <c r="B13" s="59" t="s">
        <v>249</v>
      </c>
      <c r="C13" s="1">
        <f>LEN(B13)</f>
        <v>225</v>
      </c>
      <c r="D13" s="4">
        <v>500</v>
      </c>
      <c r="E13" s="4" t="str">
        <f t="shared" si="0"/>
        <v>ok</v>
      </c>
    </row>
    <row r="14" spans="1:6" ht="43.5" thickBot="1" x14ac:dyDescent="0.35">
      <c r="A14" s="61" t="s">
        <v>197</v>
      </c>
      <c r="B14" s="62" t="s">
        <v>247</v>
      </c>
      <c r="C14" s="35">
        <v>43000</v>
      </c>
      <c r="D14" s="35">
        <v>3000</v>
      </c>
      <c r="E14" s="35">
        <v>3000</v>
      </c>
      <c r="F14" s="13" t="str">
        <f>IF(SUM(C14:E14)=C11,"ok","mal")</f>
        <v>ok</v>
      </c>
    </row>
    <row r="15" spans="1:6" ht="36" customHeight="1" thickBot="1" x14ac:dyDescent="0.35">
      <c r="A15" s="146" t="s">
        <v>136</v>
      </c>
      <c r="B15" s="147"/>
      <c r="C15"/>
    </row>
    <row r="16" spans="1:6" ht="15.75" thickBot="1" x14ac:dyDescent="0.35">
      <c r="A16" s="152" t="s">
        <v>140</v>
      </c>
      <c r="B16" s="153"/>
      <c r="C16"/>
    </row>
    <row r="17" spans="1:3" ht="39.75" customHeight="1" thickBot="1" x14ac:dyDescent="0.35">
      <c r="A17" s="148" t="s">
        <v>137</v>
      </c>
      <c r="B17" s="149"/>
      <c r="C17"/>
    </row>
    <row r="18" spans="1:3" ht="15.75" thickBot="1" x14ac:dyDescent="0.35">
      <c r="A18" s="152" t="s">
        <v>140</v>
      </c>
      <c r="B18" s="153"/>
      <c r="C18"/>
    </row>
    <row r="19" spans="1:3" ht="15.75" thickBot="1" x14ac:dyDescent="0.35">
      <c r="A19" s="150" t="s">
        <v>138</v>
      </c>
      <c r="B19" s="151"/>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29" priority="1" operator="equal">
      <formula>"mal"</formula>
    </cfRule>
    <cfRule type="cellIs" dxfId="28" priority="2" operator="equal">
      <formula>"ok"</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B7" sqref="B7"/>
    </sheetView>
  </sheetViews>
  <sheetFormatPr baseColWidth="10" defaultRowHeight="15" x14ac:dyDescent="0.3"/>
  <cols>
    <col min="1" max="1" width="14.28515625" style="58" customWidth="1"/>
    <col min="2" max="2" width="69.7109375" style="58" customWidth="1"/>
    <col min="3" max="3" width="11.5703125" style="2" bestFit="1" customWidth="1"/>
    <col min="4" max="4" width="10.5703125" style="4" bestFit="1" customWidth="1"/>
    <col min="5" max="5" width="6.28515625" style="5" bestFit="1" customWidth="1"/>
  </cols>
  <sheetData>
    <row r="1" spans="1:6" ht="15.75" thickBot="1" x14ac:dyDescent="0.35">
      <c r="A1" s="88" t="s">
        <v>0</v>
      </c>
      <c r="B1" s="89"/>
    </row>
    <row r="2" spans="1:6" ht="15.75" thickBot="1" x14ac:dyDescent="0.35">
      <c r="A2" s="54" t="s">
        <v>185</v>
      </c>
      <c r="B2" s="51" t="str">
        <f>VLOOKUP(B4,listado!A:E,5,FALSE)</f>
        <v>1.8</v>
      </c>
    </row>
    <row r="3" spans="1:6" ht="26.25" thickBot="1" x14ac:dyDescent="0.35">
      <c r="A3" s="55" t="s">
        <v>186</v>
      </c>
      <c r="B3" s="52" t="str">
        <f>VLOOKUP(B4,listado!A:E,2,FALSE)</f>
        <v>Turismo activo sostenible</v>
      </c>
    </row>
    <row r="4" spans="1:6" ht="15.75" thickBot="1" x14ac:dyDescent="0.35">
      <c r="A4" s="56" t="s">
        <v>187</v>
      </c>
      <c r="B4" s="53" t="s">
        <v>37</v>
      </c>
    </row>
    <row r="5" spans="1:6" ht="15.75" thickBot="1" x14ac:dyDescent="0.35">
      <c r="A5" s="57" t="s">
        <v>188</v>
      </c>
      <c r="B5" s="60" t="s">
        <v>32</v>
      </c>
      <c r="C5" s="2" t="s">
        <v>7</v>
      </c>
      <c r="D5" s="4" t="s">
        <v>8</v>
      </c>
    </row>
    <row r="6" spans="1:6" ht="243" thickBot="1" x14ac:dyDescent="0.35">
      <c r="A6" s="57" t="s">
        <v>189</v>
      </c>
      <c r="B6" s="59" t="s">
        <v>215</v>
      </c>
      <c r="C6" s="1">
        <f>LEN(B6)</f>
        <v>981</v>
      </c>
      <c r="D6" s="4">
        <v>1000</v>
      </c>
      <c r="E6" s="4" t="str">
        <f>IF(C6&lt;=D6,"ok","mal")</f>
        <v>ok</v>
      </c>
    </row>
    <row r="7" spans="1:6" ht="57.75" thickBot="1" x14ac:dyDescent="0.35">
      <c r="A7" s="57" t="s">
        <v>190</v>
      </c>
      <c r="B7" s="59" t="s">
        <v>217</v>
      </c>
      <c r="C7" s="1">
        <f>LEN(B7)</f>
        <v>278</v>
      </c>
      <c r="D7" s="4">
        <v>650</v>
      </c>
      <c r="E7" s="4" t="str">
        <f t="shared" ref="E7:E13" si="0">IF(C7&lt;=D7,"ok","mal")</f>
        <v>ok</v>
      </c>
    </row>
    <row r="8" spans="1:6" ht="29.25" thickBot="1" x14ac:dyDescent="0.35">
      <c r="A8" s="57" t="s">
        <v>191</v>
      </c>
      <c r="B8" s="59" t="s">
        <v>216</v>
      </c>
      <c r="C8" s="1">
        <f t="shared" ref="C8:C12" si="1">LEN(B8)</f>
        <v>141</v>
      </c>
      <c r="D8" s="4">
        <v>250</v>
      </c>
      <c r="E8" s="4" t="str">
        <f t="shared" si="0"/>
        <v>ok</v>
      </c>
    </row>
    <row r="9" spans="1:6" ht="15.75" thickBot="1" x14ac:dyDescent="0.35">
      <c r="A9" s="57" t="s">
        <v>192</v>
      </c>
      <c r="B9" s="59" t="s">
        <v>38</v>
      </c>
      <c r="E9" s="4"/>
    </row>
    <row r="10" spans="1:6" ht="43.5" thickBot="1" x14ac:dyDescent="0.35">
      <c r="A10" s="57" t="s">
        <v>193</v>
      </c>
      <c r="B10" s="59" t="s">
        <v>39</v>
      </c>
      <c r="E10" s="4"/>
    </row>
    <row r="11" spans="1:6" ht="43.5" thickBot="1" x14ac:dyDescent="0.35">
      <c r="A11" s="57" t="s">
        <v>194</v>
      </c>
      <c r="B11" s="59" t="s">
        <v>40</v>
      </c>
      <c r="C11" s="17">
        <v>25500</v>
      </c>
      <c r="E11" s="4"/>
    </row>
    <row r="12" spans="1:6" ht="26.25" thickBot="1" x14ac:dyDescent="0.35">
      <c r="A12" s="57" t="s">
        <v>195</v>
      </c>
      <c r="B12" s="59"/>
      <c r="C12" s="1">
        <f t="shared" si="1"/>
        <v>0</v>
      </c>
      <c r="D12" s="4">
        <v>600</v>
      </c>
      <c r="E12" s="4" t="str">
        <f t="shared" si="0"/>
        <v>ok</v>
      </c>
    </row>
    <row r="13" spans="1:6" ht="72" thickBot="1" x14ac:dyDescent="0.35">
      <c r="A13" s="57" t="s">
        <v>196</v>
      </c>
      <c r="B13" s="59" t="s">
        <v>41</v>
      </c>
      <c r="C13" s="1">
        <f>LEN(B13)</f>
        <v>157</v>
      </c>
      <c r="D13" s="4">
        <v>500</v>
      </c>
      <c r="E13" s="4" t="str">
        <f t="shared" si="0"/>
        <v>ok</v>
      </c>
    </row>
    <row r="14" spans="1:6" ht="29.25" thickBot="1" x14ac:dyDescent="0.35">
      <c r="A14" s="61" t="s">
        <v>197</v>
      </c>
      <c r="B14" s="62" t="s">
        <v>42</v>
      </c>
      <c r="C14" s="35">
        <v>20000</v>
      </c>
      <c r="D14" s="35">
        <v>5500</v>
      </c>
      <c r="E14" s="35">
        <v>0</v>
      </c>
      <c r="F14" s="13" t="str">
        <f>IF(SUM(C14:E14)=C11,"ok","mal")</f>
        <v>ok</v>
      </c>
    </row>
    <row r="15" spans="1:6" ht="15.75" thickBot="1" x14ac:dyDescent="0.35">
      <c r="A15" s="146" t="s">
        <v>136</v>
      </c>
      <c r="B15" s="147"/>
      <c r="C15"/>
    </row>
    <row r="16" spans="1:6" ht="15.75" thickBot="1" x14ac:dyDescent="0.35">
      <c r="A16" s="152" t="s">
        <v>140</v>
      </c>
      <c r="B16" s="153"/>
      <c r="C16"/>
    </row>
    <row r="17" spans="1:3" ht="15.75" thickBot="1" x14ac:dyDescent="0.35">
      <c r="A17" s="148" t="s">
        <v>137</v>
      </c>
      <c r="B17" s="149"/>
      <c r="C17"/>
    </row>
    <row r="18" spans="1:3" ht="15.75" thickBot="1" x14ac:dyDescent="0.35">
      <c r="A18" s="152" t="s">
        <v>140</v>
      </c>
      <c r="B18" s="153"/>
      <c r="C18"/>
    </row>
    <row r="19" spans="1:3" ht="15.75" thickBot="1" x14ac:dyDescent="0.35">
      <c r="A19" s="150" t="s">
        <v>138</v>
      </c>
      <c r="B19" s="151"/>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27" priority="1" operator="equal">
      <formula>"mal"</formula>
    </cfRule>
    <cfRule type="cellIs" dxfId="26" priority="2" operator="equal">
      <formula>"ok"</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A15" sqref="A15:B15"/>
    </sheetView>
  </sheetViews>
  <sheetFormatPr baseColWidth="10" defaultRowHeight="15" x14ac:dyDescent="0.3"/>
  <cols>
    <col min="1" max="1" width="14.28515625" style="58" customWidth="1"/>
    <col min="2" max="2" width="69.7109375" style="58" customWidth="1"/>
    <col min="3" max="3" width="11.5703125" style="2" bestFit="1" customWidth="1"/>
    <col min="4" max="4" width="11.5703125" style="4" bestFit="1" customWidth="1"/>
    <col min="5" max="5" width="11.5703125" style="5" bestFit="1" customWidth="1"/>
  </cols>
  <sheetData>
    <row r="1" spans="1:6" ht="15.75" thickBot="1" x14ac:dyDescent="0.35">
      <c r="A1" s="97" t="s">
        <v>0</v>
      </c>
      <c r="B1" s="98"/>
    </row>
    <row r="2" spans="1:6" ht="15.75" thickBot="1" x14ac:dyDescent="0.35">
      <c r="A2" s="92" t="s">
        <v>185</v>
      </c>
      <c r="B2" s="93" t="str">
        <f>VLOOKUP(B4,listado!A:E,5,FALSE)</f>
        <v>2.1</v>
      </c>
    </row>
    <row r="3" spans="1:6" ht="26.25" thickBot="1" x14ac:dyDescent="0.35">
      <c r="A3" s="103" t="s">
        <v>186</v>
      </c>
      <c r="B3" s="104" t="str">
        <f>VLOOKUP(B4,listado!A:E,2,FALSE)</f>
        <v>Patrimonio, cultura y folclore como recursos turísticos</v>
      </c>
    </row>
    <row r="4" spans="1:6" ht="15.75" thickBot="1" x14ac:dyDescent="0.35">
      <c r="A4" s="96" t="s">
        <v>187</v>
      </c>
      <c r="B4" s="105" t="s">
        <v>232</v>
      </c>
    </row>
    <row r="5" spans="1:6" ht="15.75" thickBot="1" x14ac:dyDescent="0.35">
      <c r="A5" s="106" t="s">
        <v>188</v>
      </c>
      <c r="B5" s="60" t="s">
        <v>3</v>
      </c>
      <c r="C5" s="2" t="s">
        <v>7</v>
      </c>
      <c r="D5" s="4" t="s">
        <v>8</v>
      </c>
    </row>
    <row r="6" spans="1:6" ht="257.25" thickBot="1" x14ac:dyDescent="0.35">
      <c r="A6" s="106" t="s">
        <v>189</v>
      </c>
      <c r="B6" s="59" t="s">
        <v>236</v>
      </c>
      <c r="C6" s="1">
        <f>LEN(B6)</f>
        <v>1361</v>
      </c>
      <c r="D6" s="4">
        <v>1000</v>
      </c>
      <c r="E6" s="4" t="str">
        <f>IF(C6&lt;=D6,"ok","mal")</f>
        <v>mal</v>
      </c>
    </row>
    <row r="7" spans="1:6" ht="43.5" thickBot="1" x14ac:dyDescent="0.35">
      <c r="A7" s="106" t="s">
        <v>190</v>
      </c>
      <c r="B7" s="59" t="s">
        <v>237</v>
      </c>
      <c r="C7" s="1">
        <f>LEN(B7)</f>
        <v>233</v>
      </c>
      <c r="D7" s="4">
        <v>650</v>
      </c>
      <c r="E7" s="4" t="str">
        <f t="shared" ref="E7:E13" si="0">IF(C7&lt;=D7,"ok","mal")</f>
        <v>ok</v>
      </c>
    </row>
    <row r="8" spans="1:6" ht="29.25" thickBot="1" x14ac:dyDescent="0.35">
      <c r="A8" s="106" t="s">
        <v>191</v>
      </c>
      <c r="B8" s="59" t="s">
        <v>238</v>
      </c>
      <c r="C8" s="1">
        <f t="shared" ref="C8:C12" si="1">LEN(B8)</f>
        <v>111</v>
      </c>
      <c r="D8" s="4">
        <v>250</v>
      </c>
      <c r="E8" s="4" t="str">
        <f t="shared" si="0"/>
        <v>ok</v>
      </c>
    </row>
    <row r="9" spans="1:6" ht="15.75" thickBot="1" x14ac:dyDescent="0.35">
      <c r="A9" s="106" t="s">
        <v>192</v>
      </c>
      <c r="B9" s="59" t="s">
        <v>234</v>
      </c>
      <c r="E9" s="4"/>
    </row>
    <row r="10" spans="1:6" ht="26.25" thickBot="1" x14ac:dyDescent="0.35">
      <c r="A10" s="106" t="s">
        <v>193</v>
      </c>
      <c r="B10" s="59" t="s">
        <v>234</v>
      </c>
      <c r="E10" s="4"/>
    </row>
    <row r="11" spans="1:6" ht="157.5" thickBot="1" x14ac:dyDescent="0.35">
      <c r="A11" s="106" t="s">
        <v>194</v>
      </c>
      <c r="B11" s="59" t="s">
        <v>235</v>
      </c>
      <c r="C11" s="17">
        <v>74500</v>
      </c>
      <c r="E11" s="4"/>
    </row>
    <row r="12" spans="1:6" ht="29.25" thickBot="1" x14ac:dyDescent="0.35">
      <c r="A12" s="106" t="s">
        <v>195</v>
      </c>
      <c r="B12" s="59" t="s">
        <v>218</v>
      </c>
      <c r="C12" s="1">
        <f t="shared" si="1"/>
        <v>85</v>
      </c>
      <c r="D12" s="4">
        <v>600</v>
      </c>
      <c r="E12" s="4" t="str">
        <f t="shared" si="0"/>
        <v>ok</v>
      </c>
    </row>
    <row r="13" spans="1:6" ht="157.5" thickBot="1" x14ac:dyDescent="0.35">
      <c r="A13" s="106" t="s">
        <v>196</v>
      </c>
      <c r="B13" s="59" t="s">
        <v>239</v>
      </c>
      <c r="C13" s="1">
        <f>LEN(B13)</f>
        <v>390</v>
      </c>
      <c r="D13" s="4">
        <v>500</v>
      </c>
      <c r="E13" s="4" t="str">
        <f t="shared" si="0"/>
        <v>ok</v>
      </c>
    </row>
    <row r="14" spans="1:6" ht="72" thickBot="1" x14ac:dyDescent="0.35">
      <c r="A14" s="107" t="s">
        <v>197</v>
      </c>
      <c r="B14" s="62" t="s">
        <v>240</v>
      </c>
      <c r="C14" s="35">
        <f>41500+13000</f>
        <v>54500</v>
      </c>
      <c r="D14" s="35">
        <v>10000</v>
      </c>
      <c r="E14" s="35">
        <v>10000</v>
      </c>
      <c r="F14" s="13" t="str">
        <f>IF(SUM(C14:E14)=C11,"ok","mal")</f>
        <v>ok</v>
      </c>
    </row>
    <row r="15" spans="1:6" ht="35.25" customHeight="1" thickBot="1" x14ac:dyDescent="0.35">
      <c r="A15" s="154" t="s">
        <v>136</v>
      </c>
      <c r="B15" s="155"/>
      <c r="C15"/>
    </row>
    <row r="16" spans="1:6" ht="15.75" thickBot="1" x14ac:dyDescent="0.35">
      <c r="A16" s="152" t="s">
        <v>140</v>
      </c>
      <c r="B16" s="153"/>
      <c r="C16"/>
    </row>
    <row r="17" spans="1:3" ht="42" customHeight="1" thickBot="1" x14ac:dyDescent="0.35">
      <c r="A17" s="156" t="s">
        <v>137</v>
      </c>
      <c r="B17" s="157"/>
      <c r="C17"/>
    </row>
    <row r="18" spans="1:3" ht="15.75" thickBot="1" x14ac:dyDescent="0.35">
      <c r="A18" s="152" t="s">
        <v>140</v>
      </c>
      <c r="B18" s="153"/>
      <c r="C18"/>
    </row>
    <row r="19" spans="1:3" ht="15.75" thickBot="1" x14ac:dyDescent="0.35">
      <c r="A19" s="158" t="s">
        <v>138</v>
      </c>
      <c r="B19" s="159"/>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25" priority="1" operator="equal">
      <formula>"mal"</formula>
    </cfRule>
    <cfRule type="cellIs" dxfId="24" priority="2" operator="equal">
      <formula>"ok"</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opLeftCell="A7" workbookViewId="0">
      <selection activeCell="B14" sqref="B14"/>
    </sheetView>
  </sheetViews>
  <sheetFormatPr baseColWidth="10" defaultRowHeight="15" x14ac:dyDescent="0.3"/>
  <cols>
    <col min="1" max="1" width="14.28515625" style="58" customWidth="1"/>
    <col min="2" max="2" width="69.7109375" style="58" customWidth="1"/>
    <col min="3" max="3" width="12.5703125" style="2" bestFit="1" customWidth="1"/>
    <col min="4" max="4" width="8.7109375" style="4" bestFit="1" customWidth="1"/>
    <col min="5" max="5" width="6.28515625" style="5" bestFit="1" customWidth="1"/>
  </cols>
  <sheetData>
    <row r="1" spans="1:6" ht="15.75" thickBot="1" x14ac:dyDescent="0.35">
      <c r="A1" s="97" t="s">
        <v>0</v>
      </c>
      <c r="B1" s="98"/>
      <c r="C1" s="7"/>
      <c r="D1" s="8"/>
      <c r="E1" s="9"/>
    </row>
    <row r="2" spans="1:6" ht="15.75" thickBot="1" x14ac:dyDescent="0.35">
      <c r="A2" s="92" t="s">
        <v>185</v>
      </c>
      <c r="B2" s="93" t="str">
        <f>VLOOKUP(B4,listado!A:E,5,FALSE)</f>
        <v>2.2</v>
      </c>
      <c r="C2" s="7"/>
      <c r="D2" s="8"/>
      <c r="E2" s="9"/>
    </row>
    <row r="3" spans="1:6" ht="26.25" thickBot="1" x14ac:dyDescent="0.35">
      <c r="A3" s="103" t="s">
        <v>186</v>
      </c>
      <c r="B3" s="104" t="str">
        <f>VLOOKUP(B4,listado!A:E,2,FALSE)</f>
        <v>Patrimonio, cultura y folclore como recursos turísticos</v>
      </c>
      <c r="C3" s="7"/>
      <c r="D3" s="8"/>
      <c r="E3" s="9"/>
    </row>
    <row r="4" spans="1:6" ht="15.75" thickBot="1" x14ac:dyDescent="0.35">
      <c r="A4" s="96" t="s">
        <v>187</v>
      </c>
      <c r="B4" s="105" t="s">
        <v>24</v>
      </c>
      <c r="C4" s="7"/>
      <c r="D4" s="8"/>
      <c r="E4" s="9"/>
    </row>
    <row r="5" spans="1:6" ht="15.75" thickBot="1" x14ac:dyDescent="0.35">
      <c r="A5" s="106" t="s">
        <v>188</v>
      </c>
      <c r="B5" s="60">
        <v>1</v>
      </c>
      <c r="C5" s="7" t="s">
        <v>7</v>
      </c>
      <c r="D5" s="8" t="s">
        <v>8</v>
      </c>
      <c r="E5" s="9"/>
    </row>
    <row r="6" spans="1:6" ht="86.25" thickBot="1" x14ac:dyDescent="0.35">
      <c r="A6" s="106" t="s">
        <v>189</v>
      </c>
      <c r="B6" s="59" t="s">
        <v>219</v>
      </c>
      <c r="C6" s="10">
        <v>448</v>
      </c>
      <c r="D6" s="8">
        <v>1000</v>
      </c>
      <c r="E6" s="8" t="s">
        <v>57</v>
      </c>
    </row>
    <row r="7" spans="1:6" ht="57.75" thickBot="1" x14ac:dyDescent="0.35">
      <c r="A7" s="106" t="s">
        <v>190</v>
      </c>
      <c r="B7" s="59" t="s">
        <v>58</v>
      </c>
      <c r="C7" s="10">
        <v>204</v>
      </c>
      <c r="D7" s="8">
        <v>650</v>
      </c>
      <c r="E7" s="8" t="s">
        <v>57</v>
      </c>
    </row>
    <row r="8" spans="1:6" ht="29.25" thickBot="1" x14ac:dyDescent="0.35">
      <c r="A8" s="106" t="s">
        <v>191</v>
      </c>
      <c r="B8" s="59" t="s">
        <v>220</v>
      </c>
      <c r="C8" s="10">
        <v>124</v>
      </c>
      <c r="D8" s="8">
        <v>250</v>
      </c>
      <c r="E8" s="8" t="s">
        <v>57</v>
      </c>
    </row>
    <row r="9" spans="1:6" ht="15.75" thickBot="1" x14ac:dyDescent="0.35">
      <c r="A9" s="106" t="s">
        <v>192</v>
      </c>
      <c r="B9" s="59" t="s">
        <v>59</v>
      </c>
      <c r="C9" s="7"/>
      <c r="D9" s="8"/>
      <c r="E9" s="8"/>
    </row>
    <row r="10" spans="1:6" ht="26.25" thickBot="1" x14ac:dyDescent="0.35">
      <c r="A10" s="106" t="s">
        <v>193</v>
      </c>
      <c r="B10" s="59" t="s">
        <v>59</v>
      </c>
      <c r="C10" s="7"/>
      <c r="D10" s="8"/>
      <c r="E10" s="8"/>
    </row>
    <row r="11" spans="1:6" ht="43.5" thickBot="1" x14ac:dyDescent="0.35">
      <c r="A11" s="106" t="s">
        <v>194</v>
      </c>
      <c r="B11" s="59" t="s">
        <v>263</v>
      </c>
      <c r="C11" s="18">
        <v>103000</v>
      </c>
      <c r="D11" s="8"/>
      <c r="E11" s="8"/>
    </row>
    <row r="12" spans="1:6" ht="29.25" thickBot="1" x14ac:dyDescent="0.35">
      <c r="A12" s="106" t="s">
        <v>195</v>
      </c>
      <c r="B12" s="59" t="s">
        <v>60</v>
      </c>
      <c r="C12" s="10">
        <v>115</v>
      </c>
      <c r="D12" s="8">
        <v>600</v>
      </c>
      <c r="E12" s="8" t="s">
        <v>57</v>
      </c>
    </row>
    <row r="13" spans="1:6" ht="72" thickBot="1" x14ac:dyDescent="0.35">
      <c r="A13" s="106" t="s">
        <v>196</v>
      </c>
      <c r="B13" s="59" t="s">
        <v>61</v>
      </c>
      <c r="C13" s="10">
        <v>31</v>
      </c>
      <c r="D13" s="8">
        <v>500</v>
      </c>
      <c r="E13" s="8" t="s">
        <v>57</v>
      </c>
    </row>
    <row r="14" spans="1:6" ht="29.25" thickBot="1" x14ac:dyDescent="0.35">
      <c r="A14" s="107" t="s">
        <v>197</v>
      </c>
      <c r="B14" s="62" t="s">
        <v>264</v>
      </c>
      <c r="C14" s="35">
        <v>103000</v>
      </c>
      <c r="D14" s="35">
        <v>0</v>
      </c>
      <c r="E14" s="35">
        <v>0</v>
      </c>
      <c r="F14" s="13" t="str">
        <f>IF(SUM(C14:E14)=C11,"ok","mal")</f>
        <v>ok</v>
      </c>
    </row>
    <row r="15" spans="1:6" ht="15.75" thickBot="1" x14ac:dyDescent="0.35">
      <c r="A15" s="154" t="s">
        <v>136</v>
      </c>
      <c r="B15" s="155"/>
      <c r="C15"/>
    </row>
    <row r="16" spans="1:6" ht="15.75" thickBot="1" x14ac:dyDescent="0.35">
      <c r="A16" s="152" t="s">
        <v>140</v>
      </c>
      <c r="B16" s="153"/>
      <c r="C16"/>
    </row>
    <row r="17" spans="1:3" ht="15.75" thickBot="1" x14ac:dyDescent="0.35">
      <c r="A17" s="156" t="s">
        <v>137</v>
      </c>
      <c r="B17" s="157"/>
      <c r="C17"/>
    </row>
    <row r="18" spans="1:3" ht="15.75" thickBot="1" x14ac:dyDescent="0.35">
      <c r="A18" s="152" t="s">
        <v>140</v>
      </c>
      <c r="B18" s="153"/>
      <c r="C18"/>
    </row>
    <row r="19" spans="1:3" ht="15.75" thickBot="1" x14ac:dyDescent="0.35">
      <c r="A19" s="158" t="s">
        <v>138</v>
      </c>
      <c r="B19" s="159"/>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23" priority="1" operator="equal">
      <formula>"mal"</formula>
    </cfRule>
    <cfRule type="cellIs" dxfId="22" priority="2" operator="equal">
      <formula>"ok"</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baseColWidth="10" defaultRowHeight="15" x14ac:dyDescent="0.3"/>
  <cols>
    <col min="1" max="1" width="14.28515625" style="58" customWidth="1"/>
    <col min="2" max="2" width="69.7109375" style="58" customWidth="1"/>
    <col min="3" max="3" width="11.5703125" style="2" bestFit="1" customWidth="1"/>
    <col min="4" max="4" width="8.7109375" style="4" bestFit="1" customWidth="1"/>
    <col min="5" max="5" width="4.140625" style="5" bestFit="1" customWidth="1"/>
  </cols>
  <sheetData>
    <row r="1" spans="1:6" ht="15.75" thickBot="1" x14ac:dyDescent="0.35">
      <c r="A1" s="97" t="s">
        <v>0</v>
      </c>
      <c r="B1" s="98"/>
      <c r="C1" s="7"/>
      <c r="D1" s="8"/>
      <c r="E1" s="9"/>
    </row>
    <row r="2" spans="1:6" ht="15.75" thickBot="1" x14ac:dyDescent="0.35">
      <c r="A2" s="92" t="s">
        <v>185</v>
      </c>
      <c r="B2" s="93" t="str">
        <f>VLOOKUP(B4,listado!A:E,5,FALSE)</f>
        <v>2.3</v>
      </c>
      <c r="C2" s="7"/>
      <c r="D2" s="8"/>
      <c r="E2" s="9"/>
    </row>
    <row r="3" spans="1:6" ht="26.25" thickBot="1" x14ac:dyDescent="0.35">
      <c r="A3" s="103" t="s">
        <v>186</v>
      </c>
      <c r="B3" s="104" t="str">
        <f>VLOOKUP(B4,listado!A:E,2,FALSE)</f>
        <v>Patrimonio, cultura y folclore como recursos turísticos</v>
      </c>
      <c r="C3" s="7"/>
      <c r="D3" s="8"/>
      <c r="E3" s="9"/>
    </row>
    <row r="4" spans="1:6" ht="29.25" thickBot="1" x14ac:dyDescent="0.35">
      <c r="A4" s="96" t="s">
        <v>187</v>
      </c>
      <c r="B4" s="105" t="s">
        <v>69</v>
      </c>
      <c r="C4" s="7"/>
      <c r="D4" s="8"/>
      <c r="E4" s="9"/>
    </row>
    <row r="5" spans="1:6" ht="15.75" thickBot="1" x14ac:dyDescent="0.35">
      <c r="A5" s="106" t="s">
        <v>188</v>
      </c>
      <c r="B5" s="60" t="s">
        <v>3</v>
      </c>
      <c r="C5" s="2" t="s">
        <v>7</v>
      </c>
      <c r="D5" s="4" t="s">
        <v>8</v>
      </c>
    </row>
    <row r="6" spans="1:6" ht="171.75" thickBot="1" x14ac:dyDescent="0.35">
      <c r="A6" s="106" t="s">
        <v>189</v>
      </c>
      <c r="B6" s="59" t="s">
        <v>95</v>
      </c>
      <c r="C6" s="1">
        <f>LEN(B6)</f>
        <v>885</v>
      </c>
      <c r="D6" s="4">
        <v>1000</v>
      </c>
      <c r="E6" s="4" t="str">
        <f>IF(C6&lt;=D6,"ok","mal")</f>
        <v>ok</v>
      </c>
    </row>
    <row r="7" spans="1:6" ht="15.75" thickBot="1" x14ac:dyDescent="0.35">
      <c r="A7" s="106" t="s">
        <v>190</v>
      </c>
      <c r="B7" s="59" t="s">
        <v>98</v>
      </c>
      <c r="C7" s="1">
        <f>LEN(B7)</f>
        <v>1</v>
      </c>
      <c r="D7" s="4">
        <v>650</v>
      </c>
      <c r="E7" s="4" t="str">
        <f t="shared" ref="E7:E13" si="0">IF(C7&lt;=D7,"ok","mal")</f>
        <v>ok</v>
      </c>
    </row>
    <row r="8" spans="1:6" ht="29.25" thickBot="1" x14ac:dyDescent="0.35">
      <c r="A8" s="106" t="s">
        <v>191</v>
      </c>
      <c r="B8" s="59" t="s">
        <v>221</v>
      </c>
      <c r="C8" s="1">
        <f t="shared" ref="C8:C12" si="1">LEN(B8)</f>
        <v>148</v>
      </c>
      <c r="D8" s="4">
        <v>250</v>
      </c>
      <c r="E8" s="4" t="str">
        <f t="shared" si="0"/>
        <v>ok</v>
      </c>
    </row>
    <row r="9" spans="1:6" ht="15.75" thickBot="1" x14ac:dyDescent="0.35">
      <c r="A9" s="106" t="s">
        <v>192</v>
      </c>
      <c r="B9" s="59" t="s">
        <v>96</v>
      </c>
      <c r="E9" s="4"/>
    </row>
    <row r="10" spans="1:6" ht="29.25" thickBot="1" x14ac:dyDescent="0.35">
      <c r="A10" s="106" t="s">
        <v>193</v>
      </c>
      <c r="B10" s="59" t="s">
        <v>97</v>
      </c>
      <c r="E10" s="4"/>
    </row>
    <row r="11" spans="1:6" ht="43.5" thickBot="1" x14ac:dyDescent="0.35">
      <c r="A11" s="106" t="s">
        <v>194</v>
      </c>
      <c r="B11" s="59" t="s">
        <v>99</v>
      </c>
      <c r="C11" s="17">
        <v>20000</v>
      </c>
      <c r="E11" s="4"/>
    </row>
    <row r="12" spans="1:6" ht="26.25" thickBot="1" x14ac:dyDescent="0.35">
      <c r="A12" s="106" t="s">
        <v>195</v>
      </c>
      <c r="B12" s="59"/>
      <c r="C12" s="1">
        <f t="shared" si="1"/>
        <v>0</v>
      </c>
      <c r="D12" s="4">
        <v>600</v>
      </c>
      <c r="E12" s="4" t="str">
        <f t="shared" si="0"/>
        <v>ok</v>
      </c>
    </row>
    <row r="13" spans="1:6" ht="72" thickBot="1" x14ac:dyDescent="0.35">
      <c r="A13" s="106" t="s">
        <v>196</v>
      </c>
      <c r="B13" s="59" t="s">
        <v>100</v>
      </c>
      <c r="C13" s="1">
        <f>LEN(B13)</f>
        <v>292</v>
      </c>
      <c r="D13" s="4">
        <v>500</v>
      </c>
      <c r="E13" s="4" t="str">
        <f t="shared" si="0"/>
        <v>ok</v>
      </c>
    </row>
    <row r="14" spans="1:6" ht="43.5" thickBot="1" x14ac:dyDescent="0.35">
      <c r="A14" s="107" t="s">
        <v>197</v>
      </c>
      <c r="B14" s="62" t="s">
        <v>101</v>
      </c>
      <c r="C14" s="35">
        <v>20000</v>
      </c>
      <c r="D14" s="35">
        <v>0</v>
      </c>
      <c r="E14" s="35">
        <v>0</v>
      </c>
      <c r="F14" s="13" t="str">
        <f>IF(SUM(C14:E14)=C11,"ok","mal")</f>
        <v>ok</v>
      </c>
    </row>
    <row r="15" spans="1:6" ht="15.75" thickBot="1" x14ac:dyDescent="0.35">
      <c r="A15" s="154" t="s">
        <v>136</v>
      </c>
      <c r="B15" s="155"/>
      <c r="C15"/>
    </row>
    <row r="16" spans="1:6" ht="15.75" thickBot="1" x14ac:dyDescent="0.35">
      <c r="A16" s="152" t="s">
        <v>140</v>
      </c>
      <c r="B16" s="153"/>
      <c r="C16"/>
    </row>
    <row r="17" spans="1:3" ht="15.75" thickBot="1" x14ac:dyDescent="0.35">
      <c r="A17" s="156" t="s">
        <v>137</v>
      </c>
      <c r="B17" s="157"/>
      <c r="C17"/>
    </row>
    <row r="18" spans="1:3" ht="15.75" thickBot="1" x14ac:dyDescent="0.35">
      <c r="A18" s="152" t="s">
        <v>140</v>
      </c>
      <c r="B18" s="153"/>
      <c r="C18"/>
    </row>
    <row r="19" spans="1:3" ht="15.75" thickBot="1" x14ac:dyDescent="0.35">
      <c r="A19" s="158" t="s">
        <v>138</v>
      </c>
      <c r="B19" s="159"/>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21" priority="1" operator="equal">
      <formula>"mal"</formula>
    </cfRule>
    <cfRule type="cellIs" dxfId="20" priority="2" operator="equal">
      <formula>"ok"</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B6" sqref="B6"/>
    </sheetView>
  </sheetViews>
  <sheetFormatPr baseColWidth="10" defaultRowHeight="15" x14ac:dyDescent="0.3"/>
  <cols>
    <col min="1" max="1" width="14.28515625" style="58" customWidth="1"/>
    <col min="2" max="2" width="69.7109375" style="58" customWidth="1"/>
    <col min="3" max="3" width="11.5703125" style="2" bestFit="1" customWidth="1"/>
    <col min="4" max="4" width="8.7109375" style="4" bestFit="1" customWidth="1"/>
    <col min="5" max="5" width="4.140625" style="5" bestFit="1" customWidth="1"/>
  </cols>
  <sheetData>
    <row r="1" spans="1:6" ht="15.75" thickBot="1" x14ac:dyDescent="0.35">
      <c r="A1" s="97" t="s">
        <v>0</v>
      </c>
      <c r="B1" s="98"/>
      <c r="C1" s="7"/>
      <c r="D1" s="8"/>
      <c r="E1" s="9"/>
    </row>
    <row r="2" spans="1:6" ht="15.75" thickBot="1" x14ac:dyDescent="0.35">
      <c r="A2" s="92" t="s">
        <v>185</v>
      </c>
      <c r="B2" s="93" t="str">
        <f>VLOOKUP(B4,listado!A:E,5,FALSE)</f>
        <v>2.4</v>
      </c>
      <c r="C2" s="7"/>
      <c r="D2" s="8"/>
      <c r="E2" s="9"/>
    </row>
    <row r="3" spans="1:6" ht="26.25" thickBot="1" x14ac:dyDescent="0.35">
      <c r="A3" s="103" t="s">
        <v>186</v>
      </c>
      <c r="B3" s="104" t="str">
        <f>VLOOKUP(B4,listado!A:E,2,FALSE)</f>
        <v>Patrimonio, cultura y folclore como recursos turísticos</v>
      </c>
      <c r="C3" s="7"/>
      <c r="D3" s="8"/>
      <c r="E3" s="9"/>
    </row>
    <row r="4" spans="1:6" ht="15.75" thickBot="1" x14ac:dyDescent="0.35">
      <c r="A4" s="96" t="s">
        <v>187</v>
      </c>
      <c r="B4" s="105" t="s">
        <v>124</v>
      </c>
      <c r="C4" s="7"/>
      <c r="D4" s="8"/>
      <c r="E4" s="9"/>
    </row>
    <row r="5" spans="1:6" ht="15.75" thickBot="1" x14ac:dyDescent="0.35">
      <c r="A5" s="106" t="s">
        <v>188</v>
      </c>
      <c r="B5" s="60" t="s">
        <v>3</v>
      </c>
      <c r="C5" s="2" t="s">
        <v>7</v>
      </c>
      <c r="D5" s="4" t="s">
        <v>8</v>
      </c>
    </row>
    <row r="6" spans="1:6" ht="228.75" thickBot="1" x14ac:dyDescent="0.35">
      <c r="A6" s="106" t="s">
        <v>189</v>
      </c>
      <c r="B6" s="59" t="s">
        <v>222</v>
      </c>
      <c r="C6" s="1">
        <f>LEN(B6)</f>
        <v>1229</v>
      </c>
      <c r="D6" s="4">
        <v>1000</v>
      </c>
      <c r="E6" s="4" t="str">
        <f>IF(C6&lt;=D6,"ok","mal")</f>
        <v>mal</v>
      </c>
    </row>
    <row r="7" spans="1:6" ht="57.75" thickBot="1" x14ac:dyDescent="0.35">
      <c r="A7" s="106" t="s">
        <v>190</v>
      </c>
      <c r="B7" s="59" t="s">
        <v>118</v>
      </c>
      <c r="C7" s="1">
        <f>LEN(B7)</f>
        <v>301</v>
      </c>
      <c r="D7" s="4">
        <v>650</v>
      </c>
      <c r="E7" s="4" t="str">
        <f t="shared" ref="E7:E13" si="0">IF(C7&lt;=D7,"ok","mal")</f>
        <v>ok</v>
      </c>
    </row>
    <row r="8" spans="1:6" ht="43.5" thickBot="1" x14ac:dyDescent="0.35">
      <c r="A8" s="106" t="s">
        <v>191</v>
      </c>
      <c r="B8" s="59" t="s">
        <v>179</v>
      </c>
      <c r="C8" s="1">
        <f t="shared" ref="C8:C12" si="1">LEN(B8)</f>
        <v>235</v>
      </c>
      <c r="D8" s="4">
        <v>250</v>
      </c>
      <c r="E8" s="4" t="str">
        <f t="shared" si="0"/>
        <v>ok</v>
      </c>
    </row>
    <row r="9" spans="1:6" ht="29.25" thickBot="1" x14ac:dyDescent="0.35">
      <c r="A9" s="106" t="s">
        <v>192</v>
      </c>
      <c r="B9" s="59" t="s">
        <v>119</v>
      </c>
      <c r="E9" s="4"/>
    </row>
    <row r="10" spans="1:6" ht="29.25" thickBot="1" x14ac:dyDescent="0.35">
      <c r="A10" s="106" t="s">
        <v>193</v>
      </c>
      <c r="B10" s="59" t="s">
        <v>120</v>
      </c>
      <c r="E10" s="4"/>
    </row>
    <row r="11" spans="1:6" ht="57.75" thickBot="1" x14ac:dyDescent="0.35">
      <c r="A11" s="106" t="s">
        <v>194</v>
      </c>
      <c r="B11" s="59" t="s">
        <v>121</v>
      </c>
      <c r="C11" s="17">
        <v>10500</v>
      </c>
      <c r="E11" s="4"/>
    </row>
    <row r="12" spans="1:6" ht="26.25" thickBot="1" x14ac:dyDescent="0.35">
      <c r="A12" s="106" t="s">
        <v>195</v>
      </c>
      <c r="B12" s="59"/>
      <c r="C12" s="1">
        <f t="shared" si="1"/>
        <v>0</v>
      </c>
      <c r="D12" s="4">
        <v>600</v>
      </c>
      <c r="E12" s="4" t="str">
        <f t="shared" si="0"/>
        <v>ok</v>
      </c>
    </row>
    <row r="13" spans="1:6" ht="72" thickBot="1" x14ac:dyDescent="0.35">
      <c r="A13" s="106" t="s">
        <v>196</v>
      </c>
      <c r="B13" s="59" t="s">
        <v>122</v>
      </c>
      <c r="C13" s="1">
        <f>LEN(B13)</f>
        <v>241</v>
      </c>
      <c r="D13" s="4">
        <v>500</v>
      </c>
      <c r="E13" s="4" t="str">
        <f t="shared" si="0"/>
        <v>ok</v>
      </c>
    </row>
    <row r="14" spans="1:6" ht="57.75" thickBot="1" x14ac:dyDescent="0.35">
      <c r="A14" s="107" t="s">
        <v>197</v>
      </c>
      <c r="B14" s="62" t="s">
        <v>123</v>
      </c>
      <c r="C14" s="35">
        <v>10500</v>
      </c>
      <c r="D14" s="35">
        <v>0</v>
      </c>
      <c r="E14" s="35">
        <v>0</v>
      </c>
      <c r="F14" s="13" t="str">
        <f>IF(SUM(C14:E14)=C11,"ok","mal")</f>
        <v>ok</v>
      </c>
    </row>
    <row r="15" spans="1:6" ht="15.75" thickBot="1" x14ac:dyDescent="0.35">
      <c r="A15" s="154" t="s">
        <v>136</v>
      </c>
      <c r="B15" s="155"/>
      <c r="C15"/>
    </row>
    <row r="16" spans="1:6" ht="15.75" thickBot="1" x14ac:dyDescent="0.35">
      <c r="A16" s="152" t="s">
        <v>140</v>
      </c>
      <c r="B16" s="153"/>
      <c r="C16"/>
    </row>
    <row r="17" spans="1:3" ht="15.75" thickBot="1" x14ac:dyDescent="0.35">
      <c r="A17" s="156" t="s">
        <v>137</v>
      </c>
      <c r="B17" s="157"/>
      <c r="C17"/>
    </row>
    <row r="18" spans="1:3" ht="15.75" thickBot="1" x14ac:dyDescent="0.35">
      <c r="A18" s="152" t="s">
        <v>140</v>
      </c>
      <c r="B18" s="153"/>
      <c r="C18"/>
    </row>
    <row r="19" spans="1:3" ht="15.75" thickBot="1" x14ac:dyDescent="0.35">
      <c r="A19" s="158" t="s">
        <v>138</v>
      </c>
      <c r="B19" s="159"/>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19" priority="1" operator="equal">
      <formula>"mal"</formula>
    </cfRule>
    <cfRule type="cellIs" dxfId="18" priority="2" operator="equal">
      <formula>"ok"</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opLeftCell="A7" workbookViewId="0">
      <selection activeCell="B8" sqref="B8"/>
    </sheetView>
  </sheetViews>
  <sheetFormatPr baseColWidth="10" defaultRowHeight="15" x14ac:dyDescent="0.3"/>
  <cols>
    <col min="1" max="1" width="14.28515625" style="58" customWidth="1"/>
    <col min="2" max="2" width="69.7109375" style="58" customWidth="1"/>
    <col min="3" max="3" width="11.5703125" style="2" bestFit="1" customWidth="1"/>
    <col min="4" max="4" width="11.5703125" style="4" bestFit="1" customWidth="1"/>
    <col min="5" max="5" width="11.5703125" style="5" bestFit="1" customWidth="1"/>
  </cols>
  <sheetData>
    <row r="1" spans="1:6" ht="15.75" thickBot="1" x14ac:dyDescent="0.35">
      <c r="A1" s="97" t="s">
        <v>0</v>
      </c>
      <c r="B1" s="98"/>
      <c r="C1" s="7"/>
      <c r="D1" s="8"/>
      <c r="E1" s="9"/>
    </row>
    <row r="2" spans="1:6" ht="15.75" thickBot="1" x14ac:dyDescent="0.35">
      <c r="A2" s="92" t="s">
        <v>185</v>
      </c>
      <c r="B2" s="93" t="str">
        <f>VLOOKUP(B4,listado!A:E,5,FALSE)</f>
        <v>2.5</v>
      </c>
      <c r="C2" s="7"/>
      <c r="D2" s="8"/>
      <c r="E2" s="9"/>
    </row>
    <row r="3" spans="1:6" ht="26.25" thickBot="1" x14ac:dyDescent="0.35">
      <c r="A3" s="103" t="s">
        <v>186</v>
      </c>
      <c r="B3" s="104" t="str">
        <f>VLOOKUP(B4,listado!A:E,2,FALSE)</f>
        <v>Patrimonio, cultura y folclore como recursos turísticos</v>
      </c>
      <c r="C3" s="7"/>
      <c r="D3" s="8"/>
      <c r="E3" s="9"/>
    </row>
    <row r="4" spans="1:6" ht="15.75" thickBot="1" x14ac:dyDescent="0.35">
      <c r="A4" s="96" t="s">
        <v>187</v>
      </c>
      <c r="B4" s="105" t="s">
        <v>76</v>
      </c>
      <c r="C4" s="7"/>
      <c r="D4" s="8"/>
      <c r="E4" s="9"/>
    </row>
    <row r="5" spans="1:6" ht="15.75" thickBot="1" x14ac:dyDescent="0.35">
      <c r="A5" s="106" t="s">
        <v>188</v>
      </c>
      <c r="B5" s="60" t="s">
        <v>32</v>
      </c>
      <c r="C5" s="7" t="s">
        <v>7</v>
      </c>
      <c r="D5" s="8" t="s">
        <v>8</v>
      </c>
      <c r="E5" s="9"/>
    </row>
    <row r="6" spans="1:6" ht="100.5" thickBot="1" x14ac:dyDescent="0.35">
      <c r="A6" s="106" t="s">
        <v>189</v>
      </c>
      <c r="B6" s="59" t="s">
        <v>83</v>
      </c>
      <c r="C6" s="10">
        <v>448</v>
      </c>
      <c r="D6" s="8">
        <v>1000</v>
      </c>
      <c r="E6" s="8" t="s">
        <v>57</v>
      </c>
    </row>
    <row r="7" spans="1:6" ht="86.25" thickBot="1" x14ac:dyDescent="0.35">
      <c r="A7" s="106" t="s">
        <v>190</v>
      </c>
      <c r="B7" s="59" t="s">
        <v>269</v>
      </c>
      <c r="C7" s="10">
        <v>204</v>
      </c>
      <c r="D7" s="8">
        <v>650</v>
      </c>
      <c r="E7" s="8" t="s">
        <v>57</v>
      </c>
    </row>
    <row r="8" spans="1:6" ht="29.25" thickBot="1" x14ac:dyDescent="0.35">
      <c r="A8" s="106" t="s">
        <v>191</v>
      </c>
      <c r="B8" s="59" t="s">
        <v>180</v>
      </c>
      <c r="C8" s="10">
        <v>124</v>
      </c>
      <c r="D8" s="8">
        <v>250</v>
      </c>
      <c r="E8" s="8" t="s">
        <v>57</v>
      </c>
    </row>
    <row r="9" spans="1:6" ht="15.75" thickBot="1" x14ac:dyDescent="0.35">
      <c r="A9" s="106" t="s">
        <v>192</v>
      </c>
      <c r="B9" s="59" t="s">
        <v>84</v>
      </c>
      <c r="C9" s="7"/>
      <c r="D9" s="8"/>
      <c r="E9" s="8"/>
    </row>
    <row r="10" spans="1:6" ht="26.25" thickBot="1" x14ac:dyDescent="0.35">
      <c r="A10" s="106" t="s">
        <v>193</v>
      </c>
      <c r="B10" s="59" t="s">
        <v>84</v>
      </c>
      <c r="C10" s="7"/>
      <c r="D10" s="8"/>
      <c r="E10" s="8"/>
    </row>
    <row r="11" spans="1:6" ht="43.5" thickBot="1" x14ac:dyDescent="0.35">
      <c r="A11" s="106" t="s">
        <v>194</v>
      </c>
      <c r="B11" s="59" t="s">
        <v>113</v>
      </c>
      <c r="C11" s="18">
        <v>27000</v>
      </c>
      <c r="D11" s="8"/>
      <c r="E11" s="8"/>
    </row>
    <row r="12" spans="1:6" ht="26.25" thickBot="1" x14ac:dyDescent="0.35">
      <c r="A12" s="106" t="s">
        <v>195</v>
      </c>
      <c r="B12" s="59"/>
      <c r="C12" s="10">
        <v>115</v>
      </c>
      <c r="D12" s="8">
        <v>600</v>
      </c>
      <c r="E12" s="8" t="s">
        <v>57</v>
      </c>
    </row>
    <row r="13" spans="1:6" ht="72" thickBot="1" x14ac:dyDescent="0.35">
      <c r="A13" s="106" t="s">
        <v>196</v>
      </c>
      <c r="B13" s="59" t="s">
        <v>85</v>
      </c>
      <c r="C13" s="10">
        <v>31</v>
      </c>
      <c r="D13" s="8">
        <v>500</v>
      </c>
      <c r="E13" s="8" t="s">
        <v>57</v>
      </c>
    </row>
    <row r="14" spans="1:6" ht="29.25" thickBot="1" x14ac:dyDescent="0.35">
      <c r="A14" s="107" t="s">
        <v>197</v>
      </c>
      <c r="B14" s="62" t="s">
        <v>86</v>
      </c>
      <c r="C14" s="35">
        <v>0</v>
      </c>
      <c r="D14" s="35">
        <f>27000/2</f>
        <v>13500</v>
      </c>
      <c r="E14" s="35">
        <f>27000/2</f>
        <v>13500</v>
      </c>
      <c r="F14" s="13" t="str">
        <f>IF(SUM(C14:E14)=C11,"ok","mal")</f>
        <v>ok</v>
      </c>
    </row>
    <row r="15" spans="1:6" ht="15.75" thickBot="1" x14ac:dyDescent="0.35">
      <c r="A15" s="154" t="s">
        <v>136</v>
      </c>
      <c r="B15" s="155"/>
      <c r="C15"/>
    </row>
    <row r="16" spans="1:6" ht="15.75" thickBot="1" x14ac:dyDescent="0.35">
      <c r="A16" s="152" t="s">
        <v>140</v>
      </c>
      <c r="B16" s="153"/>
      <c r="C16"/>
    </row>
    <row r="17" spans="1:3" ht="15.75" thickBot="1" x14ac:dyDescent="0.35">
      <c r="A17" s="156" t="s">
        <v>137</v>
      </c>
      <c r="B17" s="157"/>
      <c r="C17"/>
    </row>
    <row r="18" spans="1:3" ht="15.75" thickBot="1" x14ac:dyDescent="0.35">
      <c r="A18" s="152" t="s">
        <v>140</v>
      </c>
      <c r="B18" s="153"/>
      <c r="C18"/>
    </row>
    <row r="19" spans="1:3" ht="15.75" thickBot="1" x14ac:dyDescent="0.35">
      <c r="A19" s="158" t="s">
        <v>138</v>
      </c>
      <c r="B19" s="159"/>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17" priority="1" operator="equal">
      <formula>"mal"</formula>
    </cfRule>
    <cfRule type="cellIs" dxfId="16" priority="2" operator="equal">
      <formula>"ok"</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baseColWidth="10" defaultRowHeight="15" x14ac:dyDescent="0.3"/>
  <cols>
    <col min="1" max="1" width="14.28515625" style="58" customWidth="1"/>
    <col min="2" max="2" width="69.7109375" style="58" customWidth="1"/>
    <col min="3" max="3" width="11.5703125" style="2" bestFit="1" customWidth="1"/>
    <col min="4" max="4" width="11.5703125" style="4" bestFit="1" customWidth="1"/>
    <col min="5" max="5" width="11.5703125" style="5" bestFit="1" customWidth="1"/>
  </cols>
  <sheetData>
    <row r="1" spans="1:6" ht="15.75" thickBot="1" x14ac:dyDescent="0.35">
      <c r="A1" s="108" t="s">
        <v>0</v>
      </c>
      <c r="B1" s="109"/>
    </row>
    <row r="2" spans="1:6" ht="15.75" thickBot="1" x14ac:dyDescent="0.35">
      <c r="A2" s="90" t="s">
        <v>185</v>
      </c>
      <c r="B2" s="91" t="str">
        <f>VLOOKUP(B4,listado!A:E,5,FALSE)</f>
        <v>3.1</v>
      </c>
    </row>
    <row r="3" spans="1:6" ht="26.25" thickBot="1" x14ac:dyDescent="0.35">
      <c r="A3" s="94" t="s">
        <v>186</v>
      </c>
      <c r="B3" s="95" t="str">
        <f>VLOOKUP(B4,listado!A:E,2,FALSE)</f>
        <v>Promoción turística, presencia en Internet y ferias</v>
      </c>
    </row>
    <row r="4" spans="1:6" ht="15.75" thickBot="1" x14ac:dyDescent="0.35">
      <c r="A4" s="110" t="s">
        <v>187</v>
      </c>
      <c r="B4" s="111" t="s">
        <v>89</v>
      </c>
    </row>
    <row r="5" spans="1:6" ht="15.75" thickBot="1" x14ac:dyDescent="0.35">
      <c r="A5" s="112" t="s">
        <v>188</v>
      </c>
      <c r="B5" s="60" t="s">
        <v>3</v>
      </c>
      <c r="C5" s="2" t="s">
        <v>7</v>
      </c>
      <c r="D5" s="4" t="s">
        <v>8</v>
      </c>
    </row>
    <row r="6" spans="1:6" ht="228.75" thickBot="1" x14ac:dyDescent="0.35">
      <c r="A6" s="112" t="s">
        <v>189</v>
      </c>
      <c r="B6" s="59" t="s">
        <v>223</v>
      </c>
      <c r="C6" s="1">
        <f>LEN(B6)</f>
        <v>976</v>
      </c>
      <c r="D6" s="4">
        <v>1000</v>
      </c>
      <c r="E6" s="4" t="str">
        <f>IF(C6&lt;=D6,"ok","mal")</f>
        <v>ok</v>
      </c>
    </row>
    <row r="7" spans="1:6" ht="72" thickBot="1" x14ac:dyDescent="0.35">
      <c r="A7" s="112" t="s">
        <v>190</v>
      </c>
      <c r="B7" s="59" t="s">
        <v>135</v>
      </c>
      <c r="C7" s="1">
        <f>LEN(B7)</f>
        <v>366</v>
      </c>
      <c r="D7" s="4">
        <v>650</v>
      </c>
      <c r="E7" s="4" t="str">
        <f t="shared" ref="E7:E13" si="0">IF(C7&lt;=D7,"ok","mal")</f>
        <v>ok</v>
      </c>
    </row>
    <row r="8" spans="1:6" ht="57.75" thickBot="1" x14ac:dyDescent="0.35">
      <c r="A8" s="112" t="s">
        <v>191</v>
      </c>
      <c r="B8" s="59" t="s">
        <v>181</v>
      </c>
      <c r="C8" s="1">
        <f t="shared" ref="C8:C12" si="1">LEN(B8)</f>
        <v>269</v>
      </c>
      <c r="D8" s="4">
        <v>250</v>
      </c>
      <c r="E8" s="4" t="str">
        <f t="shared" si="0"/>
        <v>mal</v>
      </c>
    </row>
    <row r="9" spans="1:6" ht="15.75" thickBot="1" x14ac:dyDescent="0.35">
      <c r="A9" s="112" t="s">
        <v>192</v>
      </c>
      <c r="B9" s="59" t="s">
        <v>43</v>
      </c>
      <c r="E9" s="4"/>
    </row>
    <row r="10" spans="1:6" ht="29.25" thickBot="1" x14ac:dyDescent="0.35">
      <c r="A10" s="112" t="s">
        <v>193</v>
      </c>
      <c r="B10" s="59" t="s">
        <v>44</v>
      </c>
      <c r="E10" s="4"/>
    </row>
    <row r="11" spans="1:6" ht="171.75" thickBot="1" x14ac:dyDescent="0.35">
      <c r="A11" s="112" t="s">
        <v>194</v>
      </c>
      <c r="B11" s="59" t="s">
        <v>92</v>
      </c>
      <c r="C11" s="17">
        <v>71000</v>
      </c>
      <c r="E11" s="4"/>
    </row>
    <row r="12" spans="1:6" ht="26.25" thickBot="1" x14ac:dyDescent="0.35">
      <c r="A12" s="112" t="s">
        <v>195</v>
      </c>
      <c r="B12" s="59"/>
      <c r="C12" s="1">
        <f t="shared" si="1"/>
        <v>0</v>
      </c>
      <c r="D12" s="4">
        <v>600</v>
      </c>
      <c r="E12" s="4" t="str">
        <f t="shared" si="0"/>
        <v>ok</v>
      </c>
    </row>
    <row r="13" spans="1:6" ht="86.25" thickBot="1" x14ac:dyDescent="0.35">
      <c r="A13" s="112" t="s">
        <v>196</v>
      </c>
      <c r="B13" s="59" t="s">
        <v>90</v>
      </c>
      <c r="C13" s="1">
        <f>LEN(B13)</f>
        <v>209</v>
      </c>
      <c r="D13" s="4">
        <v>500</v>
      </c>
      <c r="E13" s="4" t="str">
        <f t="shared" si="0"/>
        <v>ok</v>
      </c>
    </row>
    <row r="14" spans="1:6" ht="72" thickBot="1" x14ac:dyDescent="0.35">
      <c r="A14" s="113" t="s">
        <v>197</v>
      </c>
      <c r="B14" s="62" t="s">
        <v>91</v>
      </c>
      <c r="C14" s="35">
        <f>21000+4500+9000+1000+9000+1500</f>
        <v>46000</v>
      </c>
      <c r="D14" s="35">
        <f>11500+2000</f>
        <v>13500</v>
      </c>
      <c r="E14" s="35">
        <v>11500</v>
      </c>
      <c r="F14" s="13" t="str">
        <f>IF(SUM(C14:E14)=C11,"ok","mal")</f>
        <v>ok</v>
      </c>
    </row>
    <row r="15" spans="1:6" ht="15.75" thickBot="1" x14ac:dyDescent="0.35">
      <c r="A15" s="160" t="s">
        <v>136</v>
      </c>
      <c r="B15" s="161"/>
      <c r="C15"/>
    </row>
    <row r="16" spans="1:6" ht="15.75" thickBot="1" x14ac:dyDescent="0.35">
      <c r="A16" s="152" t="s">
        <v>140</v>
      </c>
      <c r="B16" s="153"/>
      <c r="C16"/>
    </row>
    <row r="17" spans="1:3" ht="15.75" thickBot="1" x14ac:dyDescent="0.35">
      <c r="A17" s="162" t="s">
        <v>137</v>
      </c>
      <c r="B17" s="163"/>
      <c r="C17"/>
    </row>
    <row r="18" spans="1:3" ht="15.75" thickBot="1" x14ac:dyDescent="0.35">
      <c r="A18" s="152" t="s">
        <v>140</v>
      </c>
      <c r="B18" s="153"/>
      <c r="C18"/>
    </row>
    <row r="19" spans="1:3" ht="15.75" thickBot="1" x14ac:dyDescent="0.35">
      <c r="A19" s="164" t="s">
        <v>138</v>
      </c>
      <c r="B19" s="165"/>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15" priority="1" operator="equal">
      <formula>"mal"</formula>
    </cfRule>
    <cfRule type="cellIs" dxfId="14" priority="2" operator="equal">
      <formula>"ok"</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baseColWidth="10" defaultRowHeight="15" x14ac:dyDescent="0.3"/>
  <cols>
    <col min="1" max="1" width="14.28515625" style="58" customWidth="1"/>
    <col min="2" max="2" width="69.7109375" style="58" customWidth="1"/>
    <col min="3" max="3" width="11.5703125" style="2" bestFit="1" customWidth="1"/>
    <col min="4" max="4" width="8.7109375" style="4" bestFit="1" customWidth="1"/>
    <col min="5" max="5" width="4.140625" style="5" bestFit="1" customWidth="1"/>
  </cols>
  <sheetData>
    <row r="1" spans="1:6" ht="15.75" thickBot="1" x14ac:dyDescent="0.35">
      <c r="A1" s="108" t="s">
        <v>0</v>
      </c>
      <c r="B1" s="109"/>
      <c r="C1" s="7"/>
      <c r="D1" s="8"/>
      <c r="E1" s="9"/>
    </row>
    <row r="2" spans="1:6" ht="15.75" thickBot="1" x14ac:dyDescent="0.35">
      <c r="A2" s="90" t="s">
        <v>185</v>
      </c>
      <c r="B2" s="91" t="str">
        <f>VLOOKUP(B4,listado!A:E,5,FALSE)</f>
        <v>3.2</v>
      </c>
      <c r="C2" s="7"/>
      <c r="D2" s="8"/>
      <c r="E2" s="9"/>
    </row>
    <row r="3" spans="1:6" ht="26.25" thickBot="1" x14ac:dyDescent="0.35">
      <c r="A3" s="94" t="s">
        <v>186</v>
      </c>
      <c r="B3" s="95" t="str">
        <f>VLOOKUP(B4,listado!A:E,2,FALSE)</f>
        <v>Promoción turística, presencia en Internet y ferias</v>
      </c>
      <c r="C3" s="7"/>
      <c r="D3" s="8"/>
      <c r="E3" s="9"/>
    </row>
    <row r="4" spans="1:6" ht="15.75" thickBot="1" x14ac:dyDescent="0.35">
      <c r="A4" s="110" t="s">
        <v>187</v>
      </c>
      <c r="B4" s="111" t="s">
        <v>102</v>
      </c>
      <c r="C4" s="7"/>
      <c r="D4" s="8"/>
      <c r="E4" s="9"/>
    </row>
    <row r="5" spans="1:6" ht="15.75" thickBot="1" x14ac:dyDescent="0.35">
      <c r="A5" s="112" t="s">
        <v>188</v>
      </c>
      <c r="B5" s="60" t="s">
        <v>3</v>
      </c>
      <c r="C5" s="2" t="s">
        <v>7</v>
      </c>
      <c r="D5" s="4" t="s">
        <v>8</v>
      </c>
    </row>
    <row r="6" spans="1:6" ht="114.75" thickBot="1" x14ac:dyDescent="0.35">
      <c r="A6" s="112" t="s">
        <v>189</v>
      </c>
      <c r="B6" s="59" t="s">
        <v>224</v>
      </c>
      <c r="C6" s="1">
        <f>LEN(B6)</f>
        <v>573</v>
      </c>
      <c r="D6" s="4">
        <v>1000</v>
      </c>
      <c r="E6" s="4" t="str">
        <f>IF(C6&lt;=D6,"ok","mal")</f>
        <v>ok</v>
      </c>
    </row>
    <row r="7" spans="1:6" ht="100.5" thickBot="1" x14ac:dyDescent="0.35">
      <c r="A7" s="112" t="s">
        <v>190</v>
      </c>
      <c r="B7" s="59" t="s">
        <v>103</v>
      </c>
      <c r="C7" s="1">
        <f>LEN(B7)</f>
        <v>537</v>
      </c>
      <c r="D7" s="4">
        <v>650</v>
      </c>
      <c r="E7" s="4" t="str">
        <f t="shared" ref="E7:E13" si="0">IF(C7&lt;=D7,"ok","mal")</f>
        <v>ok</v>
      </c>
    </row>
    <row r="8" spans="1:6" ht="29.25" thickBot="1" x14ac:dyDescent="0.35">
      <c r="A8" s="112" t="s">
        <v>191</v>
      </c>
      <c r="B8" s="59" t="s">
        <v>104</v>
      </c>
      <c r="C8" s="1">
        <f t="shared" ref="C8:C12" si="1">LEN(B8)</f>
        <v>135</v>
      </c>
      <c r="D8" s="4">
        <v>250</v>
      </c>
      <c r="E8" s="4" t="str">
        <f t="shared" si="0"/>
        <v>ok</v>
      </c>
    </row>
    <row r="9" spans="1:6" ht="15.75" thickBot="1" x14ac:dyDescent="0.35">
      <c r="A9" s="112" t="s">
        <v>192</v>
      </c>
      <c r="B9" s="59" t="s">
        <v>105</v>
      </c>
      <c r="E9" s="4"/>
    </row>
    <row r="10" spans="1:6" ht="26.25" thickBot="1" x14ac:dyDescent="0.35">
      <c r="A10" s="112" t="s">
        <v>193</v>
      </c>
      <c r="B10" s="59" t="s">
        <v>105</v>
      </c>
      <c r="E10" s="4"/>
    </row>
    <row r="11" spans="1:6" ht="43.5" thickBot="1" x14ac:dyDescent="0.35">
      <c r="A11" s="112" t="s">
        <v>194</v>
      </c>
      <c r="B11" s="59" t="s">
        <v>107</v>
      </c>
      <c r="C11" s="17">
        <v>39000</v>
      </c>
      <c r="E11" s="4"/>
    </row>
    <row r="12" spans="1:6" ht="26.25" thickBot="1" x14ac:dyDescent="0.35">
      <c r="A12" s="112" t="s">
        <v>195</v>
      </c>
      <c r="B12" s="59"/>
      <c r="C12" s="1">
        <f t="shared" si="1"/>
        <v>0</v>
      </c>
      <c r="D12" s="4">
        <v>600</v>
      </c>
      <c r="E12" s="4" t="str">
        <f t="shared" si="0"/>
        <v>ok</v>
      </c>
    </row>
    <row r="13" spans="1:6" ht="57.75" thickBot="1" x14ac:dyDescent="0.35">
      <c r="A13" s="112" t="s">
        <v>196</v>
      </c>
      <c r="B13" s="59" t="s">
        <v>106</v>
      </c>
      <c r="C13" s="1">
        <f>LEN(B13)</f>
        <v>141</v>
      </c>
      <c r="D13" s="4">
        <v>500</v>
      </c>
      <c r="E13" s="4" t="str">
        <f t="shared" si="0"/>
        <v>ok</v>
      </c>
    </row>
    <row r="14" spans="1:6" ht="43.5" thickBot="1" x14ac:dyDescent="0.35">
      <c r="A14" s="113" t="s">
        <v>197</v>
      </c>
      <c r="B14" s="62" t="s">
        <v>225</v>
      </c>
      <c r="C14" s="35">
        <v>39000</v>
      </c>
      <c r="D14" s="35">
        <v>0</v>
      </c>
      <c r="E14" s="35">
        <v>0</v>
      </c>
      <c r="F14" s="13" t="str">
        <f>IF(SUM(C14:E14)=C11,"ok","mal")</f>
        <v>ok</v>
      </c>
    </row>
    <row r="15" spans="1:6" ht="15.75" thickBot="1" x14ac:dyDescent="0.35">
      <c r="A15" s="160" t="s">
        <v>136</v>
      </c>
      <c r="B15" s="161"/>
      <c r="C15"/>
    </row>
    <row r="16" spans="1:6" ht="15.75" thickBot="1" x14ac:dyDescent="0.35">
      <c r="A16" s="152" t="s">
        <v>140</v>
      </c>
      <c r="B16" s="153"/>
      <c r="C16"/>
    </row>
    <row r="17" spans="1:3" ht="15.75" thickBot="1" x14ac:dyDescent="0.35">
      <c r="A17" s="162" t="s">
        <v>137</v>
      </c>
      <c r="B17" s="163"/>
      <c r="C17"/>
    </row>
    <row r="18" spans="1:3" ht="15.75" thickBot="1" x14ac:dyDescent="0.35">
      <c r="A18" s="152" t="s">
        <v>140</v>
      </c>
      <c r="B18" s="153"/>
      <c r="C18"/>
    </row>
    <row r="19" spans="1:3" ht="15.75" thickBot="1" x14ac:dyDescent="0.35">
      <c r="A19" s="164" t="s">
        <v>138</v>
      </c>
      <c r="B19" s="165"/>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13" priority="1" operator="equal">
      <formula>"mal"</formula>
    </cfRule>
    <cfRule type="cellIs" dxfId="12" priority="2" operator="equal">
      <formula>"ok"</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C13" sqref="C13"/>
    </sheetView>
  </sheetViews>
  <sheetFormatPr baseColWidth="10" defaultRowHeight="15" x14ac:dyDescent="0.3"/>
  <cols>
    <col min="1" max="1" width="32.7109375" customWidth="1"/>
    <col min="2" max="2" width="23.28515625" customWidth="1"/>
    <col min="3" max="3" width="33.140625" bestFit="1" customWidth="1"/>
    <col min="5" max="5" width="55.140625" bestFit="1" customWidth="1"/>
    <col min="6" max="6" width="13" bestFit="1" customWidth="1"/>
  </cols>
  <sheetData>
    <row r="1" spans="1:6" x14ac:dyDescent="0.3">
      <c r="A1" s="130" t="s">
        <v>130</v>
      </c>
      <c r="B1" s="130"/>
      <c r="C1" s="130"/>
    </row>
    <row r="2" spans="1:6" ht="15.75" thickBot="1" x14ac:dyDescent="0.35">
      <c r="A2" s="26"/>
      <c r="B2" s="26"/>
      <c r="C2" s="30" t="s">
        <v>131</v>
      </c>
    </row>
    <row r="3" spans="1:6" ht="18.75" customHeight="1" thickTop="1" x14ac:dyDescent="0.3">
      <c r="A3" s="24" t="s">
        <v>128</v>
      </c>
      <c r="B3" s="25">
        <f>listado!G23</f>
        <v>780600</v>
      </c>
      <c r="C3" s="25">
        <f>B3*0.2</f>
        <v>156120</v>
      </c>
    </row>
    <row r="4" spans="1:6" ht="18.75" customHeight="1" x14ac:dyDescent="0.3">
      <c r="A4" s="26" t="s">
        <v>126</v>
      </c>
      <c r="B4" s="23">
        <v>80000</v>
      </c>
      <c r="C4" s="23">
        <f t="shared" ref="C4:C7" si="0">B4*0.2</f>
        <v>16000</v>
      </c>
    </row>
    <row r="5" spans="1:6" ht="18.75" customHeight="1" x14ac:dyDescent="0.3">
      <c r="A5" s="27" t="s">
        <v>127</v>
      </c>
      <c r="B5" s="28">
        <v>61000</v>
      </c>
      <c r="C5" s="28">
        <f t="shared" si="0"/>
        <v>12200</v>
      </c>
    </row>
    <row r="6" spans="1:6" ht="18.75" customHeight="1" thickBot="1" x14ac:dyDescent="0.35">
      <c r="A6" s="26" t="s">
        <v>129</v>
      </c>
      <c r="B6" s="23">
        <v>30400</v>
      </c>
      <c r="C6" s="23">
        <f t="shared" si="0"/>
        <v>6080</v>
      </c>
    </row>
    <row r="7" spans="1:6" ht="15.75" thickTop="1" x14ac:dyDescent="0.3">
      <c r="A7" s="29" t="s">
        <v>94</v>
      </c>
      <c r="B7" s="21">
        <f>SUBTOTAL(109,B3:B6)</f>
        <v>952000</v>
      </c>
      <c r="C7" s="21">
        <f t="shared" si="0"/>
        <v>190400</v>
      </c>
    </row>
    <row r="8" spans="1:6" ht="15.75" thickBot="1" x14ac:dyDescent="0.35"/>
    <row r="9" spans="1:6" ht="15.75" thickBot="1" x14ac:dyDescent="0.35">
      <c r="E9" s="47" t="s">
        <v>199</v>
      </c>
      <c r="F9" s="49">
        <f>B7</f>
        <v>952000</v>
      </c>
    </row>
    <row r="10" spans="1:6" ht="15.75" thickBot="1" x14ac:dyDescent="0.35">
      <c r="E10" s="48" t="s">
        <v>200</v>
      </c>
      <c r="F10" s="50">
        <f>F9*0.1</f>
        <v>95200</v>
      </c>
    </row>
    <row r="11" spans="1:6" ht="15.75" thickBot="1" x14ac:dyDescent="0.35">
      <c r="E11" s="48" t="s">
        <v>201</v>
      </c>
      <c r="F11" s="50">
        <f>F9*0.45</f>
        <v>428400</v>
      </c>
    </row>
    <row r="12" spans="1:6" ht="15.75" thickBot="1" x14ac:dyDescent="0.35">
      <c r="E12" s="48" t="s">
        <v>202</v>
      </c>
      <c r="F12" s="50">
        <f>F9*0.45</f>
        <v>428400</v>
      </c>
    </row>
  </sheetData>
  <mergeCells count="1">
    <mergeCell ref="A1:C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baseColWidth="10" defaultRowHeight="15" x14ac:dyDescent="0.3"/>
  <cols>
    <col min="1" max="1" width="14.28515625" style="58" customWidth="1"/>
    <col min="2" max="2" width="69.7109375" style="58" customWidth="1"/>
    <col min="3" max="3" width="10.5703125" style="2" bestFit="1" customWidth="1"/>
    <col min="4" max="4" width="8.7109375" style="4" bestFit="1" customWidth="1"/>
    <col min="5" max="5" width="4.140625" style="5" bestFit="1" customWidth="1"/>
  </cols>
  <sheetData>
    <row r="1" spans="1:6" ht="15.75" thickBot="1" x14ac:dyDescent="0.35">
      <c r="A1" s="114" t="s">
        <v>0</v>
      </c>
      <c r="B1" s="115"/>
    </row>
    <row r="2" spans="1:6" ht="15.75" thickBot="1" x14ac:dyDescent="0.35">
      <c r="A2" s="99" t="s">
        <v>185</v>
      </c>
      <c r="B2" s="100" t="str">
        <f>VLOOKUP(B4,listado!A:E,5,FALSE)</f>
        <v>4.1</v>
      </c>
    </row>
    <row r="3" spans="1:6" ht="26.25" thickBot="1" x14ac:dyDescent="0.35">
      <c r="A3" s="118" t="s">
        <v>186</v>
      </c>
      <c r="B3" s="119" t="str">
        <f>VLOOKUP(B4,listado!A:E,2,FALSE)</f>
        <v>Movilidad sostenible</v>
      </c>
    </row>
    <row r="4" spans="1:6" ht="15.75" thickBot="1" x14ac:dyDescent="0.35">
      <c r="A4" s="120" t="s">
        <v>187</v>
      </c>
      <c r="B4" s="121" t="s">
        <v>25</v>
      </c>
    </row>
    <row r="5" spans="1:6" ht="15.75" thickBot="1" x14ac:dyDescent="0.35">
      <c r="A5" s="122" t="s">
        <v>188</v>
      </c>
      <c r="B5" s="60">
        <v>1</v>
      </c>
      <c r="C5" s="2" t="s">
        <v>7</v>
      </c>
      <c r="D5" s="4" t="s">
        <v>8</v>
      </c>
    </row>
    <row r="6" spans="1:6" ht="72" thickBot="1" x14ac:dyDescent="0.35">
      <c r="A6" s="122" t="s">
        <v>189</v>
      </c>
      <c r="B6" s="59" t="s">
        <v>226</v>
      </c>
      <c r="C6" s="1">
        <f>LEN(B6)</f>
        <v>363</v>
      </c>
      <c r="D6" s="4">
        <v>1000</v>
      </c>
      <c r="E6" s="4" t="str">
        <f>IF(C6&lt;=D6,"ok","mal")</f>
        <v>ok</v>
      </c>
    </row>
    <row r="7" spans="1:6" ht="114.75" thickBot="1" x14ac:dyDescent="0.35">
      <c r="A7" s="122" t="s">
        <v>190</v>
      </c>
      <c r="B7" s="59" t="s">
        <v>227</v>
      </c>
      <c r="C7" s="1">
        <f>LEN(B7)</f>
        <v>556</v>
      </c>
      <c r="D7" s="4">
        <v>650</v>
      </c>
      <c r="E7" s="4" t="str">
        <f t="shared" ref="E7:E13" si="0">IF(C7&lt;=D7,"ok","mal")</f>
        <v>ok</v>
      </c>
    </row>
    <row r="8" spans="1:6" ht="43.5" thickBot="1" x14ac:dyDescent="0.35">
      <c r="A8" s="122" t="s">
        <v>191</v>
      </c>
      <c r="B8" s="59" t="s">
        <v>26</v>
      </c>
      <c r="C8" s="1">
        <f t="shared" ref="C8:C12" si="1">LEN(B8)</f>
        <v>207</v>
      </c>
      <c r="D8" s="4">
        <v>250</v>
      </c>
      <c r="E8" s="4" t="str">
        <f t="shared" si="0"/>
        <v>ok</v>
      </c>
    </row>
    <row r="9" spans="1:6" ht="29.25" thickBot="1" x14ac:dyDescent="0.35">
      <c r="A9" s="122" t="s">
        <v>192</v>
      </c>
      <c r="B9" s="59" t="s">
        <v>27</v>
      </c>
      <c r="E9" s="4"/>
    </row>
    <row r="10" spans="1:6" ht="29.25" thickBot="1" x14ac:dyDescent="0.35">
      <c r="A10" s="122" t="s">
        <v>193</v>
      </c>
      <c r="B10" s="59" t="s">
        <v>30</v>
      </c>
      <c r="E10" s="4"/>
    </row>
    <row r="11" spans="1:6" ht="100.5" thickBot="1" x14ac:dyDescent="0.35">
      <c r="A11" s="122" t="s">
        <v>194</v>
      </c>
      <c r="B11" s="59" t="s">
        <v>112</v>
      </c>
      <c r="C11" s="17">
        <v>9000</v>
      </c>
      <c r="E11" s="4"/>
    </row>
    <row r="12" spans="1:6" ht="26.25" thickBot="1" x14ac:dyDescent="0.35">
      <c r="A12" s="122" t="s">
        <v>195</v>
      </c>
      <c r="B12" s="59"/>
      <c r="C12" s="1">
        <f t="shared" si="1"/>
        <v>0</v>
      </c>
      <c r="D12" s="4">
        <v>600</v>
      </c>
      <c r="E12" s="4" t="str">
        <f t="shared" si="0"/>
        <v>ok</v>
      </c>
    </row>
    <row r="13" spans="1:6" ht="57.75" thickBot="1" x14ac:dyDescent="0.35">
      <c r="A13" s="122" t="s">
        <v>196</v>
      </c>
      <c r="B13" s="59" t="s">
        <v>28</v>
      </c>
      <c r="C13" s="1">
        <f>LEN(B13)</f>
        <v>127</v>
      </c>
      <c r="D13" s="4">
        <v>500</v>
      </c>
      <c r="E13" s="4" t="str">
        <f t="shared" si="0"/>
        <v>ok</v>
      </c>
    </row>
    <row r="14" spans="1:6" ht="43.5" thickBot="1" x14ac:dyDescent="0.35">
      <c r="A14" s="123" t="s">
        <v>197</v>
      </c>
      <c r="B14" s="62" t="s">
        <v>29</v>
      </c>
      <c r="C14" s="35">
        <v>9000</v>
      </c>
      <c r="D14" s="35">
        <v>0</v>
      </c>
      <c r="E14" s="35">
        <v>0</v>
      </c>
      <c r="F14" s="13" t="str">
        <f>IF(SUM(C14:E14)=C11,"ok","mal")</f>
        <v>ok</v>
      </c>
    </row>
    <row r="15" spans="1:6" ht="15.75" thickBot="1" x14ac:dyDescent="0.35">
      <c r="A15" s="166" t="s">
        <v>136</v>
      </c>
      <c r="B15" s="167"/>
      <c r="C15"/>
    </row>
    <row r="16" spans="1:6" ht="15.75" thickBot="1" x14ac:dyDescent="0.35">
      <c r="A16" s="152" t="s">
        <v>140</v>
      </c>
      <c r="B16" s="153"/>
      <c r="C16"/>
    </row>
    <row r="17" spans="1:3" ht="15.75" thickBot="1" x14ac:dyDescent="0.35">
      <c r="A17" s="168" t="s">
        <v>137</v>
      </c>
      <c r="B17" s="169"/>
      <c r="C17"/>
    </row>
    <row r="18" spans="1:3" ht="15.75" thickBot="1" x14ac:dyDescent="0.35">
      <c r="A18" s="152" t="s">
        <v>140</v>
      </c>
      <c r="B18" s="153"/>
      <c r="C18"/>
    </row>
    <row r="19" spans="1:3" ht="15.75" thickBot="1" x14ac:dyDescent="0.35">
      <c r="A19" s="170" t="s">
        <v>138</v>
      </c>
      <c r="B19" s="171"/>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11" priority="1" operator="equal">
      <formula>"mal"</formula>
    </cfRule>
    <cfRule type="cellIs" dxfId="10" priority="2" operator="equal">
      <formula>"ok"</formula>
    </cfRule>
  </conditionalFormatting>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opLeftCell="A15" workbookViewId="0">
      <selection activeCell="B9" sqref="B9"/>
    </sheetView>
  </sheetViews>
  <sheetFormatPr baseColWidth="10" defaultRowHeight="15" x14ac:dyDescent="0.3"/>
  <cols>
    <col min="1" max="1" width="14.28515625" style="58" customWidth="1"/>
    <col min="2" max="2" width="69.7109375" style="58" customWidth="1"/>
    <col min="3" max="3" width="12.5703125" style="2" bestFit="1" customWidth="1"/>
    <col min="4" max="4" width="11.5703125" style="4" bestFit="1" customWidth="1"/>
    <col min="5" max="5" width="11.5703125" style="5" bestFit="1" customWidth="1"/>
  </cols>
  <sheetData>
    <row r="1" spans="1:6" ht="15.75" thickBot="1" x14ac:dyDescent="0.35">
      <c r="A1" s="114" t="s">
        <v>0</v>
      </c>
      <c r="B1" s="115"/>
      <c r="C1" s="7"/>
      <c r="D1" s="8"/>
      <c r="E1" s="9"/>
    </row>
    <row r="2" spans="1:6" ht="15.75" thickBot="1" x14ac:dyDescent="0.35">
      <c r="A2" s="99" t="s">
        <v>185</v>
      </c>
      <c r="B2" s="100" t="str">
        <f>VLOOKUP(B4,listado!A:E,5,FALSE)</f>
        <v>4.2</v>
      </c>
      <c r="C2" s="7"/>
      <c r="D2" s="8"/>
      <c r="E2" s="9"/>
    </row>
    <row r="3" spans="1:6" ht="26.25" thickBot="1" x14ac:dyDescent="0.35">
      <c r="A3" s="118" t="s">
        <v>186</v>
      </c>
      <c r="B3" s="119" t="str">
        <f>VLOOKUP(B4,listado!A:E,2,FALSE)</f>
        <v>Movilidad sostenible</v>
      </c>
      <c r="C3" s="7"/>
      <c r="D3" s="8"/>
      <c r="E3" s="9"/>
    </row>
    <row r="4" spans="1:6" ht="29.25" thickBot="1" x14ac:dyDescent="0.35">
      <c r="A4" s="120" t="s">
        <v>187</v>
      </c>
      <c r="B4" s="121" t="s">
        <v>147</v>
      </c>
      <c r="C4" s="7"/>
      <c r="D4" s="8"/>
      <c r="E4" s="9"/>
    </row>
    <row r="5" spans="1:6" ht="15.75" thickBot="1" x14ac:dyDescent="0.35">
      <c r="A5" s="122" t="s">
        <v>188</v>
      </c>
      <c r="B5" s="60" t="s">
        <v>3</v>
      </c>
      <c r="C5" s="2" t="s">
        <v>7</v>
      </c>
      <c r="D5" s="4" t="s">
        <v>8</v>
      </c>
    </row>
    <row r="6" spans="1:6" ht="214.5" thickBot="1" x14ac:dyDescent="0.35">
      <c r="A6" s="122" t="s">
        <v>189</v>
      </c>
      <c r="B6" s="59" t="s">
        <v>148</v>
      </c>
      <c r="C6" s="1">
        <f>LEN(B6)</f>
        <v>1097</v>
      </c>
      <c r="D6" s="4">
        <v>1000</v>
      </c>
      <c r="E6" s="4" t="str">
        <f>IF(C6&lt;=D6,"ok","mal")</f>
        <v>mal</v>
      </c>
    </row>
    <row r="7" spans="1:6" ht="100.5" thickBot="1" x14ac:dyDescent="0.35">
      <c r="A7" s="122" t="s">
        <v>190</v>
      </c>
      <c r="B7" s="59" t="s">
        <v>149</v>
      </c>
      <c r="C7" s="1">
        <f>LEN(B7)</f>
        <v>562</v>
      </c>
      <c r="D7" s="4">
        <v>650</v>
      </c>
      <c r="E7" s="4" t="str">
        <f t="shared" ref="E7:E13" si="0">IF(C7&lt;=D7,"ok","mal")</f>
        <v>ok</v>
      </c>
    </row>
    <row r="8" spans="1:6" ht="43.5" thickBot="1" x14ac:dyDescent="0.35">
      <c r="A8" s="122" t="s">
        <v>191</v>
      </c>
      <c r="B8" s="59" t="s">
        <v>228</v>
      </c>
      <c r="C8" s="1">
        <f t="shared" ref="C8:C12" si="1">LEN(B8)</f>
        <v>193</v>
      </c>
      <c r="D8" s="4">
        <v>250</v>
      </c>
      <c r="E8" s="4" t="str">
        <f t="shared" si="0"/>
        <v>ok</v>
      </c>
    </row>
    <row r="9" spans="1:6" ht="15.75" thickBot="1" x14ac:dyDescent="0.35">
      <c r="A9" s="122" t="s">
        <v>192</v>
      </c>
      <c r="B9" s="59" t="s">
        <v>108</v>
      </c>
      <c r="E9" s="4"/>
    </row>
    <row r="10" spans="1:6" ht="29.25" thickBot="1" x14ac:dyDescent="0.35">
      <c r="A10" s="122" t="s">
        <v>193</v>
      </c>
      <c r="B10" s="59" t="s">
        <v>109</v>
      </c>
      <c r="E10" s="4"/>
    </row>
    <row r="11" spans="1:6" ht="143.25" thickBot="1" x14ac:dyDescent="0.35">
      <c r="A11" s="122" t="s">
        <v>194</v>
      </c>
      <c r="B11" s="59" t="s">
        <v>198</v>
      </c>
      <c r="C11" s="17">
        <v>115000</v>
      </c>
      <c r="E11" s="4"/>
    </row>
    <row r="12" spans="1:6" ht="26.25" thickBot="1" x14ac:dyDescent="0.35">
      <c r="A12" s="122" t="s">
        <v>195</v>
      </c>
      <c r="B12" s="59"/>
      <c r="C12" s="1">
        <f t="shared" si="1"/>
        <v>0</v>
      </c>
      <c r="D12" s="4">
        <v>600</v>
      </c>
      <c r="E12" s="4" t="str">
        <f t="shared" si="0"/>
        <v>ok</v>
      </c>
    </row>
    <row r="13" spans="1:6" ht="86.25" thickBot="1" x14ac:dyDescent="0.35">
      <c r="A13" s="122" t="s">
        <v>196</v>
      </c>
      <c r="B13" s="59" t="s">
        <v>145</v>
      </c>
      <c r="C13" s="1">
        <f>LEN(B13)</f>
        <v>293</v>
      </c>
      <c r="D13" s="4">
        <v>500</v>
      </c>
      <c r="E13" s="4" t="str">
        <f t="shared" si="0"/>
        <v>ok</v>
      </c>
    </row>
    <row r="14" spans="1:6" ht="43.5" thickBot="1" x14ac:dyDescent="0.35">
      <c r="A14" s="123" t="s">
        <v>197</v>
      </c>
      <c r="B14" s="62" t="s">
        <v>146</v>
      </c>
      <c r="C14" s="35">
        <f>3000+4000+60000+10000+10000</f>
        <v>87000</v>
      </c>
      <c r="D14" s="35">
        <f>4000+10000</f>
        <v>14000</v>
      </c>
      <c r="E14" s="35">
        <f>4000+10000</f>
        <v>14000</v>
      </c>
      <c r="F14" s="13" t="str">
        <f>IF(SUM(C14:E14)=C11,"ok","mal")</f>
        <v>ok</v>
      </c>
    </row>
    <row r="15" spans="1:6" ht="15.75" thickBot="1" x14ac:dyDescent="0.35">
      <c r="A15" s="166" t="s">
        <v>136</v>
      </c>
      <c r="B15" s="167"/>
      <c r="C15"/>
    </row>
    <row r="16" spans="1:6" ht="15.75" thickBot="1" x14ac:dyDescent="0.35">
      <c r="A16" s="152" t="s">
        <v>140</v>
      </c>
      <c r="B16" s="153"/>
      <c r="C16"/>
    </row>
    <row r="17" spans="1:3" ht="15.75" thickBot="1" x14ac:dyDescent="0.35">
      <c r="A17" s="168" t="s">
        <v>137</v>
      </c>
      <c r="B17" s="169"/>
      <c r="C17"/>
    </row>
    <row r="18" spans="1:3" ht="15.75" thickBot="1" x14ac:dyDescent="0.35">
      <c r="A18" s="152" t="s">
        <v>140</v>
      </c>
      <c r="B18" s="153"/>
      <c r="C18"/>
    </row>
    <row r="19" spans="1:3" ht="15.75" thickBot="1" x14ac:dyDescent="0.35">
      <c r="A19" s="170" t="s">
        <v>138</v>
      </c>
      <c r="B19" s="171"/>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9" priority="1" operator="equal">
      <formula>"mal"</formula>
    </cfRule>
    <cfRule type="cellIs" dxfId="8" priority="2" operator="equal">
      <formula>"ok"</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B14" sqref="B14"/>
    </sheetView>
  </sheetViews>
  <sheetFormatPr baseColWidth="10" defaultRowHeight="15" x14ac:dyDescent="0.3"/>
  <cols>
    <col min="1" max="1" width="14.28515625" style="58" customWidth="1"/>
    <col min="2" max="2" width="69.7109375" style="58" customWidth="1"/>
    <col min="3" max="3" width="11.5703125" style="2" bestFit="1" customWidth="1"/>
    <col min="4" max="4" width="11.5703125" style="4" bestFit="1" customWidth="1"/>
    <col min="5" max="5" width="4.140625" style="5" bestFit="1" customWidth="1"/>
  </cols>
  <sheetData>
    <row r="1" spans="1:6" ht="15.75" thickBot="1" x14ac:dyDescent="0.35">
      <c r="A1" s="124" t="s">
        <v>0</v>
      </c>
      <c r="B1" s="125"/>
    </row>
    <row r="2" spans="1:6" ht="15.75" thickBot="1" x14ac:dyDescent="0.35">
      <c r="A2" s="101" t="s">
        <v>185</v>
      </c>
      <c r="B2" s="102" t="str">
        <f>VLOOKUP(B4,listado!A:E,5,FALSE)</f>
        <v>5.1</v>
      </c>
    </row>
    <row r="3" spans="1:6" ht="26.25" thickBot="1" x14ac:dyDescent="0.35">
      <c r="A3" s="116" t="s">
        <v>186</v>
      </c>
      <c r="B3" s="117" t="str">
        <f>VLOOKUP(B4,listado!A:E,2,FALSE)</f>
        <v>Auditoría medioambiental y acreditaciones</v>
      </c>
    </row>
    <row r="4" spans="1:6" ht="15.75" thickBot="1" x14ac:dyDescent="0.35">
      <c r="A4" s="126" t="s">
        <v>187</v>
      </c>
      <c r="B4" s="127" t="s">
        <v>49</v>
      </c>
    </row>
    <row r="5" spans="1:6" ht="15.75" thickBot="1" x14ac:dyDescent="0.35">
      <c r="A5" s="128" t="s">
        <v>188</v>
      </c>
      <c r="B5" s="60" t="s">
        <v>3</v>
      </c>
      <c r="C5" s="2" t="s">
        <v>7</v>
      </c>
      <c r="D5" s="4" t="s">
        <v>8</v>
      </c>
    </row>
    <row r="6" spans="1:6" ht="200.25" thickBot="1" x14ac:dyDescent="0.35">
      <c r="A6" s="128" t="s">
        <v>189</v>
      </c>
      <c r="B6" s="59" t="s">
        <v>46</v>
      </c>
      <c r="C6" s="1">
        <f>LEN(B6)</f>
        <v>998</v>
      </c>
      <c r="D6" s="4">
        <v>1000</v>
      </c>
      <c r="E6" s="4" t="str">
        <f>IF(C6&lt;=D6,"ok","mal")</f>
        <v>ok</v>
      </c>
    </row>
    <row r="7" spans="1:6" ht="72" thickBot="1" x14ac:dyDescent="0.35">
      <c r="A7" s="128" t="s">
        <v>190</v>
      </c>
      <c r="B7" s="59" t="s">
        <v>45</v>
      </c>
      <c r="C7" s="1">
        <f>LEN(B7)</f>
        <v>357</v>
      </c>
      <c r="D7" s="4">
        <v>650</v>
      </c>
      <c r="E7" s="4" t="str">
        <f t="shared" ref="E7:E13" si="0">IF(C7&lt;=D7,"ok","mal")</f>
        <v>ok</v>
      </c>
    </row>
    <row r="8" spans="1:6" ht="43.5" thickBot="1" x14ac:dyDescent="0.35">
      <c r="A8" s="128" t="s">
        <v>191</v>
      </c>
      <c r="B8" s="59" t="s">
        <v>182</v>
      </c>
      <c r="C8" s="1">
        <f t="shared" ref="C8:C12" si="1">LEN(B8)</f>
        <v>232</v>
      </c>
      <c r="D8" s="4">
        <v>250</v>
      </c>
      <c r="E8" s="4" t="str">
        <f t="shared" si="0"/>
        <v>ok</v>
      </c>
    </row>
    <row r="9" spans="1:6" ht="15.75" thickBot="1" x14ac:dyDescent="0.35">
      <c r="A9" s="128" t="s">
        <v>192</v>
      </c>
      <c r="B9" s="59" t="s">
        <v>50</v>
      </c>
      <c r="E9" s="4"/>
    </row>
    <row r="10" spans="1:6" ht="26.25" thickBot="1" x14ac:dyDescent="0.35">
      <c r="A10" s="128" t="s">
        <v>193</v>
      </c>
      <c r="B10" s="59" t="s">
        <v>50</v>
      </c>
      <c r="E10" s="4"/>
    </row>
    <row r="11" spans="1:6" ht="57.75" thickBot="1" x14ac:dyDescent="0.35">
      <c r="A11" s="128" t="s">
        <v>194</v>
      </c>
      <c r="B11" s="59" t="s">
        <v>47</v>
      </c>
      <c r="C11" s="17">
        <v>27600</v>
      </c>
      <c r="E11" s="4"/>
    </row>
    <row r="12" spans="1:6" ht="26.25" thickBot="1" x14ac:dyDescent="0.35">
      <c r="A12" s="128" t="s">
        <v>195</v>
      </c>
      <c r="B12" s="59"/>
      <c r="C12" s="1">
        <f t="shared" si="1"/>
        <v>0</v>
      </c>
      <c r="D12" s="4">
        <v>600</v>
      </c>
      <c r="E12" s="4" t="str">
        <f t="shared" si="0"/>
        <v>ok</v>
      </c>
    </row>
    <row r="13" spans="1:6" ht="72" thickBot="1" x14ac:dyDescent="0.35">
      <c r="A13" s="128" t="s">
        <v>196</v>
      </c>
      <c r="B13" s="59" t="s">
        <v>229</v>
      </c>
      <c r="C13" s="1">
        <f>LEN(B13)</f>
        <v>305</v>
      </c>
      <c r="D13" s="4">
        <v>500</v>
      </c>
      <c r="E13" s="4" t="str">
        <f t="shared" si="0"/>
        <v>ok</v>
      </c>
    </row>
    <row r="14" spans="1:6" ht="86.25" thickBot="1" x14ac:dyDescent="0.35">
      <c r="A14" s="129" t="s">
        <v>197</v>
      </c>
      <c r="B14" s="62" t="s">
        <v>48</v>
      </c>
      <c r="C14" s="35">
        <f>27600/2</f>
        <v>13800</v>
      </c>
      <c r="D14" s="35">
        <f>C14</f>
        <v>13800</v>
      </c>
      <c r="E14" s="35">
        <v>0</v>
      </c>
      <c r="F14" s="13" t="str">
        <f>IF(SUM(C14:E14)=C11,"ok","mal")</f>
        <v>ok</v>
      </c>
    </row>
    <row r="15" spans="1:6" ht="15.75" thickBot="1" x14ac:dyDescent="0.35">
      <c r="A15" s="172" t="s">
        <v>136</v>
      </c>
      <c r="B15" s="173"/>
      <c r="C15"/>
    </row>
    <row r="16" spans="1:6" ht="15.75" thickBot="1" x14ac:dyDescent="0.35">
      <c r="A16" s="152" t="s">
        <v>140</v>
      </c>
      <c r="B16" s="153"/>
      <c r="C16"/>
    </row>
    <row r="17" spans="1:3" ht="15.75" thickBot="1" x14ac:dyDescent="0.35">
      <c r="A17" s="174" t="s">
        <v>137</v>
      </c>
      <c r="B17" s="175"/>
      <c r="C17"/>
    </row>
    <row r="18" spans="1:3" ht="15.75" thickBot="1" x14ac:dyDescent="0.35">
      <c r="A18" s="152" t="s">
        <v>143</v>
      </c>
      <c r="B18" s="153"/>
      <c r="C18"/>
    </row>
    <row r="19" spans="1:3" ht="15.75" thickBot="1" x14ac:dyDescent="0.35">
      <c r="A19" s="176" t="s">
        <v>138</v>
      </c>
      <c r="B19" s="177"/>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7" priority="1" operator="equal">
      <formula>"mal"</formula>
    </cfRule>
    <cfRule type="cellIs" dxfId="6" priority="2" operator="equal">
      <formula>"ok"</formula>
    </cfRule>
  </conditionalFormatting>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abSelected="1" workbookViewId="0">
      <selection activeCell="B7" sqref="B7"/>
    </sheetView>
  </sheetViews>
  <sheetFormatPr baseColWidth="10" defaultRowHeight="15" x14ac:dyDescent="0.3"/>
  <cols>
    <col min="1" max="1" width="14.28515625" style="58" customWidth="1"/>
    <col min="2" max="2" width="69.7109375" style="58" customWidth="1"/>
    <col min="3" max="3" width="11.5703125" style="2" bestFit="1" customWidth="1"/>
    <col min="4" max="4" width="10.5703125" style="4" bestFit="1" customWidth="1"/>
    <col min="5" max="5" width="10.5703125" style="5" bestFit="1" customWidth="1"/>
  </cols>
  <sheetData>
    <row r="1" spans="1:6" ht="15.75" thickBot="1" x14ac:dyDescent="0.35">
      <c r="A1" s="124" t="s">
        <v>0</v>
      </c>
      <c r="B1" s="125"/>
    </row>
    <row r="2" spans="1:6" ht="15.75" thickBot="1" x14ac:dyDescent="0.35">
      <c r="A2" s="101" t="s">
        <v>185</v>
      </c>
      <c r="B2" s="102" t="str">
        <f>VLOOKUP(B4,listado!A:E,5,FALSE)</f>
        <v>5.2</v>
      </c>
    </row>
    <row r="3" spans="1:6" ht="26.25" thickBot="1" x14ac:dyDescent="0.35">
      <c r="A3" s="116" t="s">
        <v>186</v>
      </c>
      <c r="B3" s="117" t="str">
        <f>VLOOKUP(B4,listado!A:E,2,FALSE)</f>
        <v>Auditoría medioambiental y acreditaciones</v>
      </c>
    </row>
    <row r="4" spans="1:6" ht="15.75" thickBot="1" x14ac:dyDescent="0.35">
      <c r="A4" s="126" t="s">
        <v>187</v>
      </c>
      <c r="B4" s="127" t="s">
        <v>56</v>
      </c>
    </row>
    <row r="5" spans="1:6" ht="15.75" thickBot="1" x14ac:dyDescent="0.35">
      <c r="A5" s="128" t="s">
        <v>188</v>
      </c>
      <c r="B5" s="60" t="s">
        <v>3</v>
      </c>
      <c r="C5" s="2" t="s">
        <v>7</v>
      </c>
      <c r="D5" s="4" t="s">
        <v>8</v>
      </c>
    </row>
    <row r="6" spans="1:6" ht="171.75" thickBot="1" x14ac:dyDescent="0.35">
      <c r="A6" s="128" t="s">
        <v>189</v>
      </c>
      <c r="B6" s="59" t="s">
        <v>273</v>
      </c>
      <c r="C6" s="1">
        <f>LEN(B6)</f>
        <v>900</v>
      </c>
      <c r="D6" s="4">
        <v>1000</v>
      </c>
      <c r="E6" s="4" t="str">
        <f>IF(C6&lt;=D6,"ok","mal")</f>
        <v>ok</v>
      </c>
    </row>
    <row r="7" spans="1:6" ht="72" thickBot="1" x14ac:dyDescent="0.35">
      <c r="A7" s="128" t="s">
        <v>190</v>
      </c>
      <c r="B7" s="59" t="s">
        <v>52</v>
      </c>
      <c r="C7" s="1">
        <f>LEN(B7)</f>
        <v>359</v>
      </c>
      <c r="D7" s="4">
        <v>650</v>
      </c>
      <c r="E7" s="4" t="str">
        <f t="shared" ref="E7:E13" si="0">IF(C7&lt;=D7,"ok","mal")</f>
        <v>ok</v>
      </c>
    </row>
    <row r="8" spans="1:6" ht="43.5" thickBot="1" x14ac:dyDescent="0.35">
      <c r="A8" s="128" t="s">
        <v>191</v>
      </c>
      <c r="B8" s="59" t="s">
        <v>183</v>
      </c>
      <c r="C8" s="1">
        <f t="shared" ref="C8:C12" si="1">LEN(B8)</f>
        <v>195</v>
      </c>
      <c r="D8" s="4">
        <v>250</v>
      </c>
      <c r="E8" s="4" t="str">
        <f t="shared" si="0"/>
        <v>ok</v>
      </c>
    </row>
    <row r="9" spans="1:6" ht="15.75" thickBot="1" x14ac:dyDescent="0.35">
      <c r="A9" s="128" t="s">
        <v>192</v>
      </c>
      <c r="B9" s="59" t="s">
        <v>53</v>
      </c>
      <c r="E9" s="4"/>
    </row>
    <row r="10" spans="1:6" ht="29.25" thickBot="1" x14ac:dyDescent="0.35">
      <c r="A10" s="128" t="s">
        <v>193</v>
      </c>
      <c r="B10" s="59" t="s">
        <v>54</v>
      </c>
      <c r="E10" s="4"/>
    </row>
    <row r="11" spans="1:6" ht="86.25" thickBot="1" x14ac:dyDescent="0.35">
      <c r="A11" s="128" t="s">
        <v>194</v>
      </c>
      <c r="B11" s="59" t="s">
        <v>110</v>
      </c>
      <c r="C11" s="17">
        <v>14000</v>
      </c>
      <c r="E11" s="4"/>
    </row>
    <row r="12" spans="1:6" ht="26.25" thickBot="1" x14ac:dyDescent="0.35">
      <c r="A12" s="128" t="s">
        <v>195</v>
      </c>
      <c r="B12" s="59"/>
      <c r="C12" s="1">
        <f t="shared" si="1"/>
        <v>0</v>
      </c>
      <c r="D12" s="4">
        <v>600</v>
      </c>
      <c r="E12" s="4" t="str">
        <f t="shared" si="0"/>
        <v>ok</v>
      </c>
    </row>
    <row r="13" spans="1:6" ht="100.5" thickBot="1" x14ac:dyDescent="0.35">
      <c r="A13" s="128" t="s">
        <v>196</v>
      </c>
      <c r="B13" s="59" t="s">
        <v>55</v>
      </c>
      <c r="C13" s="1">
        <f>LEN(B13)</f>
        <v>225</v>
      </c>
      <c r="D13" s="4">
        <v>500</v>
      </c>
      <c r="E13" s="4" t="str">
        <f t="shared" si="0"/>
        <v>ok</v>
      </c>
    </row>
    <row r="14" spans="1:6" ht="100.5" thickBot="1" x14ac:dyDescent="0.35">
      <c r="A14" s="129" t="s">
        <v>197</v>
      </c>
      <c r="B14" s="62" t="s">
        <v>62</v>
      </c>
      <c r="C14" s="35">
        <f>2500+1000+8000</f>
        <v>11500</v>
      </c>
      <c r="D14" s="35">
        <v>1250</v>
      </c>
      <c r="E14" s="35">
        <v>1250</v>
      </c>
      <c r="F14" s="13" t="str">
        <f>IF(SUM(C14:E14)=C11,"ok","mal")</f>
        <v>ok</v>
      </c>
    </row>
    <row r="15" spans="1:6" ht="15.75" thickBot="1" x14ac:dyDescent="0.35">
      <c r="A15" s="172" t="s">
        <v>136</v>
      </c>
      <c r="B15" s="173"/>
    </row>
    <row r="16" spans="1:6" ht="15.75" thickBot="1" x14ac:dyDescent="0.35">
      <c r="A16" s="152" t="s">
        <v>140</v>
      </c>
      <c r="B16" s="153"/>
    </row>
    <row r="17" spans="1:2" ht="15.75" thickBot="1" x14ac:dyDescent="0.35">
      <c r="A17" s="174" t="s">
        <v>137</v>
      </c>
      <c r="B17" s="175"/>
    </row>
    <row r="18" spans="1:2" ht="15.75" thickBot="1" x14ac:dyDescent="0.35">
      <c r="A18" s="152" t="s">
        <v>144</v>
      </c>
      <c r="B18" s="153"/>
    </row>
    <row r="19" spans="1:2" ht="15.75" thickBot="1" x14ac:dyDescent="0.35">
      <c r="A19" s="176" t="s">
        <v>138</v>
      </c>
      <c r="B19" s="177"/>
    </row>
    <row r="20" spans="1:2"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5" priority="1" operator="equal">
      <formula>"mal"</formula>
    </cfRule>
    <cfRule type="cellIs" dxfId="4" priority="2" operator="equal">
      <formula>"ok"</formula>
    </cfRule>
  </conditionalFormatting>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opLeftCell="A2" workbookViewId="0">
      <selection activeCell="B7" sqref="B7"/>
    </sheetView>
  </sheetViews>
  <sheetFormatPr baseColWidth="10" defaultRowHeight="15" x14ac:dyDescent="0.3"/>
  <cols>
    <col min="1" max="1" width="14.28515625" style="58" customWidth="1"/>
    <col min="2" max="2" width="69.7109375" style="58" customWidth="1"/>
    <col min="3" max="3" width="11.5703125" style="2" bestFit="1" customWidth="1"/>
    <col min="4" max="4" width="8.7109375" style="4" bestFit="1" customWidth="1"/>
    <col min="5" max="5" width="4.140625" style="5" bestFit="1" customWidth="1"/>
  </cols>
  <sheetData>
    <row r="1" spans="1:6" ht="15.75" thickBot="1" x14ac:dyDescent="0.35">
      <c r="A1" s="124" t="s">
        <v>0</v>
      </c>
      <c r="B1" s="125"/>
    </row>
    <row r="2" spans="1:6" ht="15.75" thickBot="1" x14ac:dyDescent="0.35">
      <c r="A2" s="101" t="s">
        <v>185</v>
      </c>
      <c r="B2" s="102" t="str">
        <f>VLOOKUP(B4,listado!A:E,5,FALSE)</f>
        <v>5.3</v>
      </c>
    </row>
    <row r="3" spans="1:6" ht="26.25" thickBot="1" x14ac:dyDescent="0.35">
      <c r="A3" s="116" t="s">
        <v>186</v>
      </c>
      <c r="B3" s="117" t="str">
        <f>VLOOKUP(B4,listado!A:E,2,FALSE)</f>
        <v>Auditoría medioambiental y acreditaciones</v>
      </c>
    </row>
    <row r="4" spans="1:6" ht="43.5" thickBot="1" x14ac:dyDescent="0.35">
      <c r="A4" s="126" t="s">
        <v>187</v>
      </c>
      <c r="B4" s="127" t="s">
        <v>71</v>
      </c>
    </row>
    <row r="5" spans="1:6" ht="15.75" thickBot="1" x14ac:dyDescent="0.35">
      <c r="A5" s="128" t="s">
        <v>188</v>
      </c>
      <c r="B5" s="60" t="s">
        <v>3</v>
      </c>
      <c r="C5" s="2" t="s">
        <v>7</v>
      </c>
      <c r="D5" s="4" t="s">
        <v>8</v>
      </c>
    </row>
    <row r="6" spans="1:6" ht="300" thickBot="1" x14ac:dyDescent="0.35">
      <c r="A6" s="128" t="s">
        <v>189</v>
      </c>
      <c r="B6" s="59" t="s">
        <v>230</v>
      </c>
      <c r="C6" s="1">
        <f>LEN(B6)</f>
        <v>1600</v>
      </c>
      <c r="D6" s="4">
        <v>1000</v>
      </c>
      <c r="E6" s="4" t="str">
        <f>IF(C6&lt;=D6,"ok","mal")</f>
        <v>mal</v>
      </c>
    </row>
    <row r="7" spans="1:6" ht="72" thickBot="1" x14ac:dyDescent="0.35">
      <c r="A7" s="128" t="s">
        <v>190</v>
      </c>
      <c r="B7" s="59" t="s">
        <v>114</v>
      </c>
      <c r="C7" s="1">
        <f>LEN(B7)</f>
        <v>354</v>
      </c>
      <c r="D7" s="4">
        <v>650</v>
      </c>
      <c r="E7" s="4" t="str">
        <f t="shared" ref="E7:E13" si="0">IF(C7&lt;=D7,"ok","mal")</f>
        <v>ok</v>
      </c>
    </row>
    <row r="8" spans="1:6" ht="43.5" thickBot="1" x14ac:dyDescent="0.35">
      <c r="A8" s="128" t="s">
        <v>191</v>
      </c>
      <c r="B8" s="59" t="s">
        <v>184</v>
      </c>
      <c r="C8" s="1">
        <f t="shared" ref="C8:C12" si="1">LEN(B8)</f>
        <v>204</v>
      </c>
      <c r="D8" s="4">
        <v>250</v>
      </c>
      <c r="E8" s="4" t="str">
        <f t="shared" si="0"/>
        <v>ok</v>
      </c>
    </row>
    <row r="9" spans="1:6" ht="29.25" thickBot="1" x14ac:dyDescent="0.35">
      <c r="A9" s="128" t="s">
        <v>192</v>
      </c>
      <c r="B9" s="59" t="s">
        <v>115</v>
      </c>
      <c r="E9" s="4"/>
    </row>
    <row r="10" spans="1:6" ht="29.25" thickBot="1" x14ac:dyDescent="0.35">
      <c r="A10" s="128" t="s">
        <v>193</v>
      </c>
      <c r="B10" s="59" t="s">
        <v>116</v>
      </c>
      <c r="E10" s="4"/>
    </row>
    <row r="11" spans="1:6" ht="15.75" thickBot="1" x14ac:dyDescent="0.35">
      <c r="A11" s="128" t="s">
        <v>194</v>
      </c>
      <c r="B11" s="59" t="s">
        <v>80</v>
      </c>
      <c r="C11" s="17">
        <v>0</v>
      </c>
      <c r="E11" s="4"/>
    </row>
    <row r="12" spans="1:6" ht="26.25" thickBot="1" x14ac:dyDescent="0.35">
      <c r="A12" s="128" t="s">
        <v>195</v>
      </c>
      <c r="B12" s="59"/>
      <c r="C12" s="1">
        <f t="shared" si="1"/>
        <v>0</v>
      </c>
      <c r="D12" s="4">
        <v>600</v>
      </c>
      <c r="E12" s="4" t="str">
        <f t="shared" si="0"/>
        <v>ok</v>
      </c>
    </row>
    <row r="13" spans="1:6" ht="43.5" thickBot="1" x14ac:dyDescent="0.35">
      <c r="A13" s="128" t="s">
        <v>196</v>
      </c>
      <c r="B13" s="59" t="s">
        <v>117</v>
      </c>
      <c r="C13" s="1">
        <f>LEN(B13)</f>
        <v>135</v>
      </c>
      <c r="D13" s="4">
        <v>500</v>
      </c>
      <c r="E13" s="4" t="str">
        <f t="shared" si="0"/>
        <v>ok</v>
      </c>
    </row>
    <row r="14" spans="1:6" ht="72" thickBot="1" x14ac:dyDescent="0.35">
      <c r="A14" s="129" t="s">
        <v>197</v>
      </c>
      <c r="B14" s="62" t="s">
        <v>159</v>
      </c>
      <c r="C14" s="35">
        <v>0</v>
      </c>
      <c r="D14" s="35">
        <v>0</v>
      </c>
      <c r="E14" s="35">
        <v>0</v>
      </c>
      <c r="F14" s="13" t="str">
        <f>IF(SUM(C14:E14)=C11,"ok","mal")</f>
        <v>ok</v>
      </c>
    </row>
    <row r="15" spans="1:6" ht="15.75" thickBot="1" x14ac:dyDescent="0.35">
      <c r="A15" s="172" t="s">
        <v>136</v>
      </c>
      <c r="B15" s="173"/>
    </row>
    <row r="16" spans="1:6" ht="15.75" thickBot="1" x14ac:dyDescent="0.35">
      <c r="A16" s="152" t="s">
        <v>140</v>
      </c>
      <c r="B16" s="153"/>
    </row>
    <row r="17" spans="1:2" ht="15.75" thickBot="1" x14ac:dyDescent="0.35">
      <c r="A17" s="174" t="s">
        <v>137</v>
      </c>
      <c r="B17" s="175"/>
    </row>
    <row r="18" spans="1:2" ht="15.75" thickBot="1" x14ac:dyDescent="0.35">
      <c r="A18" s="152" t="s">
        <v>144</v>
      </c>
      <c r="B18" s="153"/>
    </row>
    <row r="19" spans="1:2" ht="15.75" thickBot="1" x14ac:dyDescent="0.35">
      <c r="A19" s="176" t="s">
        <v>138</v>
      </c>
      <c r="B19" s="177"/>
    </row>
    <row r="20" spans="1:2"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3" priority="1" operator="equal">
      <formula>"mal"</formula>
    </cfRule>
    <cfRule type="cellIs" dxfId="2" priority="2" operator="equal">
      <formula>"ok"</formula>
    </cfRule>
  </conditionalFormatting>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topLeftCell="A4" workbookViewId="0">
      <selection activeCell="B6" sqref="B6"/>
    </sheetView>
  </sheetViews>
  <sheetFormatPr baseColWidth="10" defaultRowHeight="15" x14ac:dyDescent="0.3"/>
  <cols>
    <col min="1" max="1" width="14.28515625" style="58" customWidth="1"/>
    <col min="2" max="2" width="69.7109375" style="58" customWidth="1"/>
    <col min="3" max="3" width="11.5703125" style="2" bestFit="1" customWidth="1"/>
    <col min="4" max="4" width="11.5703125" style="4" bestFit="1" customWidth="1"/>
    <col min="5" max="5" width="9.140625" style="5" bestFit="1" customWidth="1"/>
  </cols>
  <sheetData>
    <row r="1" spans="1:6" ht="15.75" thickBot="1" x14ac:dyDescent="0.35">
      <c r="A1" s="124" t="s">
        <v>0</v>
      </c>
      <c r="B1" s="125"/>
    </row>
    <row r="2" spans="1:6" ht="15.75" thickBot="1" x14ac:dyDescent="0.35">
      <c r="A2" s="101" t="s">
        <v>185</v>
      </c>
      <c r="B2" s="102" t="str">
        <f>VLOOKUP(B4,listado!A:E,5,FALSE)</f>
        <v>5.4</v>
      </c>
    </row>
    <row r="3" spans="1:6" ht="26.25" thickBot="1" x14ac:dyDescent="0.35">
      <c r="A3" s="116" t="s">
        <v>186</v>
      </c>
      <c r="B3" s="117" t="str">
        <f>VLOOKUP(B4,listado!A:E,2,FALSE)</f>
        <v>Auditoría medioambiental y acreditaciones</v>
      </c>
    </row>
    <row r="4" spans="1:6" ht="15.75" thickBot="1" x14ac:dyDescent="0.35">
      <c r="A4" s="126" t="s">
        <v>187</v>
      </c>
      <c r="B4" s="127" t="s">
        <v>203</v>
      </c>
    </row>
    <row r="5" spans="1:6" ht="15.75" thickBot="1" x14ac:dyDescent="0.35">
      <c r="A5" s="128" t="s">
        <v>188</v>
      </c>
      <c r="B5" s="60" t="s">
        <v>3</v>
      </c>
      <c r="C5" s="2" t="s">
        <v>7</v>
      </c>
      <c r="D5" s="4" t="s">
        <v>8</v>
      </c>
    </row>
    <row r="6" spans="1:6" ht="257.25" thickBot="1" x14ac:dyDescent="0.35">
      <c r="A6" s="128" t="s">
        <v>189</v>
      </c>
      <c r="B6" s="59" t="s">
        <v>231</v>
      </c>
      <c r="C6" s="1">
        <f>LEN(B6)</f>
        <v>1251</v>
      </c>
      <c r="D6" s="4">
        <v>1000</v>
      </c>
      <c r="E6" s="4" t="str">
        <f>IF(C6&lt;=D6,"ok","mal")</f>
        <v>mal</v>
      </c>
    </row>
    <row r="7" spans="1:6" ht="171.75" thickBot="1" x14ac:dyDescent="0.35">
      <c r="A7" s="128" t="s">
        <v>190</v>
      </c>
      <c r="B7" s="59" t="s">
        <v>204</v>
      </c>
      <c r="C7" s="1">
        <f>LEN(B7)</f>
        <v>778</v>
      </c>
      <c r="D7" s="4">
        <v>650</v>
      </c>
      <c r="E7" s="4" t="str">
        <f t="shared" ref="E7:E13" si="0">IF(C7&lt;=D7,"ok","mal")</f>
        <v>mal</v>
      </c>
    </row>
    <row r="8" spans="1:6" ht="43.5" thickBot="1" x14ac:dyDescent="0.35">
      <c r="A8" s="128" t="s">
        <v>191</v>
      </c>
      <c r="B8" s="59" t="s">
        <v>205</v>
      </c>
      <c r="C8" s="1">
        <f t="shared" ref="C8:C12" si="1">LEN(B8)</f>
        <v>212</v>
      </c>
      <c r="D8" s="4">
        <v>250</v>
      </c>
      <c r="E8" s="4" t="str">
        <f t="shared" si="0"/>
        <v>ok</v>
      </c>
    </row>
    <row r="9" spans="1:6" ht="15.75" thickBot="1" x14ac:dyDescent="0.35">
      <c r="A9" s="128" t="s">
        <v>192</v>
      </c>
      <c r="B9" s="59" t="s">
        <v>50</v>
      </c>
      <c r="E9" s="4"/>
    </row>
    <row r="10" spans="1:6" ht="26.25" thickBot="1" x14ac:dyDescent="0.35">
      <c r="A10" s="128" t="s">
        <v>193</v>
      </c>
      <c r="B10" s="59" t="s">
        <v>50</v>
      </c>
      <c r="E10" s="4"/>
    </row>
    <row r="11" spans="1:6" ht="100.5" thickBot="1" x14ac:dyDescent="0.35">
      <c r="A11" s="128" t="s">
        <v>194</v>
      </c>
      <c r="B11" s="59" t="s">
        <v>206</v>
      </c>
      <c r="C11" s="17">
        <v>300</v>
      </c>
      <c r="E11" s="4"/>
    </row>
    <row r="12" spans="1:6" ht="26.25" thickBot="1" x14ac:dyDescent="0.35">
      <c r="A12" s="128" t="s">
        <v>195</v>
      </c>
      <c r="B12" s="59"/>
      <c r="C12" s="1">
        <f t="shared" si="1"/>
        <v>0</v>
      </c>
      <c r="D12" s="4">
        <v>600</v>
      </c>
      <c r="E12" s="4" t="str">
        <f t="shared" si="0"/>
        <v>ok</v>
      </c>
    </row>
    <row r="13" spans="1:6" ht="86.25" thickBot="1" x14ac:dyDescent="0.35">
      <c r="A13" s="128" t="s">
        <v>196</v>
      </c>
      <c r="B13" s="59" t="s">
        <v>207</v>
      </c>
      <c r="C13" s="1">
        <f>LEN(B13)</f>
        <v>296</v>
      </c>
      <c r="D13" s="4">
        <v>500</v>
      </c>
      <c r="E13" s="4" t="str">
        <f t="shared" si="0"/>
        <v>ok</v>
      </c>
    </row>
    <row r="14" spans="1:6" ht="29.25" thickBot="1" x14ac:dyDescent="0.35">
      <c r="A14" s="129" t="s">
        <v>197</v>
      </c>
      <c r="B14" s="62" t="s">
        <v>208</v>
      </c>
      <c r="C14" s="35">
        <v>100</v>
      </c>
      <c r="D14" s="35">
        <f>C14</f>
        <v>100</v>
      </c>
      <c r="E14" s="35">
        <v>100</v>
      </c>
      <c r="F14" s="13" t="str">
        <f>IF(SUM(C14:E14)=C11,"ok","mal")</f>
        <v>ok</v>
      </c>
    </row>
    <row r="15" spans="1:6" ht="15.75" thickBot="1" x14ac:dyDescent="0.35">
      <c r="A15" s="172" t="s">
        <v>136</v>
      </c>
      <c r="B15" s="173"/>
      <c r="C15"/>
    </row>
    <row r="16" spans="1:6" ht="15.75" thickBot="1" x14ac:dyDescent="0.35">
      <c r="A16" s="152" t="s">
        <v>140</v>
      </c>
      <c r="B16" s="153"/>
      <c r="C16"/>
    </row>
    <row r="17" spans="1:3" ht="15.75" thickBot="1" x14ac:dyDescent="0.35">
      <c r="A17" s="174" t="s">
        <v>137</v>
      </c>
      <c r="B17" s="175"/>
      <c r="C17"/>
    </row>
    <row r="18" spans="1:3" ht="15.75" thickBot="1" x14ac:dyDescent="0.35">
      <c r="A18" s="152" t="s">
        <v>140</v>
      </c>
      <c r="B18" s="153"/>
      <c r="C18"/>
    </row>
    <row r="19" spans="1:3" ht="15.75" thickBot="1" x14ac:dyDescent="0.35">
      <c r="A19" s="176" t="s">
        <v>138</v>
      </c>
      <c r="B19" s="177"/>
      <c r="C19"/>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1" priority="1" operator="equal">
      <formula>"mal"</formula>
    </cfRule>
    <cfRule type="cellIs" dxfId="0" priority="2"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topLeftCell="A10" workbookViewId="0">
      <selection activeCell="C23" sqref="C23"/>
    </sheetView>
  </sheetViews>
  <sheetFormatPr baseColWidth="10" defaultRowHeight="14.25" x14ac:dyDescent="0.3"/>
  <cols>
    <col min="1" max="1" width="22.140625" style="39" bestFit="1" customWidth="1"/>
    <col min="2" max="2" width="4.5703125" style="39" customWidth="1"/>
    <col min="3" max="3" width="78.85546875" style="42" customWidth="1"/>
    <col min="4" max="4" width="12.85546875" style="39" bestFit="1" customWidth="1"/>
    <col min="5" max="6" width="12.140625" style="39" bestFit="1" customWidth="1"/>
    <col min="7" max="7" width="13.140625" style="39" bestFit="1" customWidth="1"/>
    <col min="8" max="16384" width="11.42578125" style="39"/>
  </cols>
  <sheetData>
    <row r="1" spans="1:7" ht="28.5" x14ac:dyDescent="0.3">
      <c r="A1" s="36" t="s">
        <v>150</v>
      </c>
      <c r="B1" s="37"/>
      <c r="C1" s="38" t="s">
        <v>128</v>
      </c>
      <c r="D1" s="38" t="s">
        <v>151</v>
      </c>
      <c r="E1" s="38" t="s">
        <v>152</v>
      </c>
      <c r="F1" s="38" t="s">
        <v>153</v>
      </c>
      <c r="G1" s="38" t="s">
        <v>94</v>
      </c>
    </row>
    <row r="2" spans="1:7" ht="14.25" customHeight="1" x14ac:dyDescent="0.3">
      <c r="A2" s="131" t="str">
        <f>"EJE  1 "&amp;Tabla1[[#This Row],[eje programático]]</f>
        <v>EJE  1 Turismo activo sostenible</v>
      </c>
      <c r="B2" s="63" t="str">
        <f>listado!E2</f>
        <v>1.1</v>
      </c>
      <c r="C2" s="64" t="str">
        <f>listado!A2</f>
        <v>Renovación y modernización de la red de senderos del Barranco</v>
      </c>
      <c r="D2" s="65">
        <f>sendas!C14</f>
        <v>58000</v>
      </c>
      <c r="E2" s="65">
        <f>sendas!D14</f>
        <v>11000</v>
      </c>
      <c r="F2" s="65">
        <f>sendas!E14</f>
        <v>11000</v>
      </c>
      <c r="G2" s="65">
        <f>SUM(D2:F2)</f>
        <v>80000</v>
      </c>
    </row>
    <row r="3" spans="1:7" x14ac:dyDescent="0.3">
      <c r="A3" s="132"/>
      <c r="B3" s="63" t="str">
        <f>listado!E3</f>
        <v>1.2</v>
      </c>
      <c r="C3" s="64" t="str">
        <f>listado!A3</f>
        <v>Guía de senderismo, rutas de naturaleza, temáticas y urbanas</v>
      </c>
      <c r="D3" s="65">
        <f>guía!C14</f>
        <v>22733.333333333332</v>
      </c>
      <c r="E3" s="65">
        <f>guía!D14</f>
        <v>20733.333333333332</v>
      </c>
      <c r="F3" s="65">
        <f>guía!E14</f>
        <v>20733.333333333332</v>
      </c>
      <c r="G3" s="65">
        <f t="shared" ref="G3:G26" si="0">SUM(D3:F3)</f>
        <v>64200</v>
      </c>
    </row>
    <row r="4" spans="1:7" x14ac:dyDescent="0.3">
      <c r="A4" s="132"/>
      <c r="B4" s="63" t="str">
        <f>listado!E4</f>
        <v>1.3</v>
      </c>
      <c r="C4" s="64" t="str">
        <f>listado!A4</f>
        <v>Libro de excursiones y folletos de rutas de senderismo</v>
      </c>
      <c r="D4" s="65">
        <f>folletos!C14</f>
        <v>3000</v>
      </c>
      <c r="E4" s="65">
        <f>folletos!D14</f>
        <v>5000</v>
      </c>
      <c r="F4" s="65">
        <f>folletos!E14</f>
        <v>0</v>
      </c>
      <c r="G4" s="65">
        <f t="shared" si="0"/>
        <v>8000</v>
      </c>
    </row>
    <row r="5" spans="1:7" x14ac:dyDescent="0.3">
      <c r="A5" s="132"/>
      <c r="B5" s="63" t="str">
        <f>listado!E5</f>
        <v>1.4</v>
      </c>
      <c r="C5" s="64" t="str">
        <f>listado!A5</f>
        <v>Miradores estelares</v>
      </c>
      <c r="D5" s="65">
        <f>miradorestelar!C14</f>
        <v>10000</v>
      </c>
      <c r="E5" s="65">
        <f>miradorestelar!D14</f>
        <v>0</v>
      </c>
      <c r="F5" s="65">
        <f>miradorestelar!E14</f>
        <v>0</v>
      </c>
      <c r="G5" s="65">
        <f t="shared" si="0"/>
        <v>10000</v>
      </c>
    </row>
    <row r="6" spans="1:7" x14ac:dyDescent="0.3">
      <c r="A6" s="132"/>
      <c r="B6" s="63" t="str">
        <f>listado!E6</f>
        <v>1.5</v>
      </c>
      <c r="C6" s="64" t="str">
        <f>listado!A6</f>
        <v>Turismo de naturaleza - observación de fauna de interés</v>
      </c>
      <c r="D6" s="65">
        <f>observ.aves!C14</f>
        <v>1000</v>
      </c>
      <c r="E6" s="65">
        <f>observ.aves!D14</f>
        <v>10000</v>
      </c>
      <c r="F6" s="65">
        <f>observ.aves!E14</f>
        <v>0</v>
      </c>
      <c r="G6" s="65">
        <f t="shared" si="0"/>
        <v>11000</v>
      </c>
    </row>
    <row r="7" spans="1:7" x14ac:dyDescent="0.3">
      <c r="A7" s="132"/>
      <c r="B7" s="63" t="str">
        <f>listado!E7</f>
        <v>1.6</v>
      </c>
      <c r="C7" s="64" t="str">
        <f>listado!A7</f>
        <v>Turismo de naturaleza (flora): Arboreto</v>
      </c>
      <c r="D7" s="65">
        <f>fotofauna!C14</f>
        <v>3000</v>
      </c>
      <c r="E7" s="65">
        <f>fotofauna!D14</f>
        <v>19000</v>
      </c>
      <c r="F7" s="65">
        <f>fotofauna!E14</f>
        <v>0</v>
      </c>
      <c r="G7" s="65">
        <f t="shared" si="0"/>
        <v>22000</v>
      </c>
    </row>
    <row r="8" spans="1:7" x14ac:dyDescent="0.3">
      <c r="A8" s="132"/>
      <c r="B8" s="63" t="str">
        <f>listado!E8</f>
        <v>1.7</v>
      </c>
      <c r="C8" s="64" t="str">
        <f>listado!A8</f>
        <v>Puntos BTT y Ciclomontañada</v>
      </c>
      <c r="D8" s="65">
        <f>BTT!C14</f>
        <v>43000</v>
      </c>
      <c r="E8" s="65">
        <f>BTT!D14</f>
        <v>3000</v>
      </c>
      <c r="F8" s="65">
        <f>BTT!E14</f>
        <v>3000</v>
      </c>
      <c r="G8" s="65">
        <f t="shared" si="0"/>
        <v>49000</v>
      </c>
    </row>
    <row r="9" spans="1:7" x14ac:dyDescent="0.3">
      <c r="A9" s="132"/>
      <c r="B9" s="63" t="str">
        <f>listado!E9</f>
        <v>1.8</v>
      </c>
      <c r="C9" s="64" t="str">
        <f>listado!A9</f>
        <v>Área de servicio para autocaravanas</v>
      </c>
      <c r="D9" s="65">
        <f>autocaravanas!C14</f>
        <v>20000</v>
      </c>
      <c r="E9" s="65">
        <f>autocaravanas!D14</f>
        <v>5500</v>
      </c>
      <c r="F9" s="65">
        <f>autocaravanas!E14</f>
        <v>0</v>
      </c>
      <c r="G9" s="65">
        <f t="shared" si="0"/>
        <v>25500</v>
      </c>
    </row>
    <row r="10" spans="1:7" x14ac:dyDescent="0.3">
      <c r="A10" s="133"/>
      <c r="B10" s="63"/>
      <c r="C10" s="66" t="s">
        <v>154</v>
      </c>
      <c r="D10" s="67">
        <f t="shared" ref="D10:F10" si="1">SUM(D2:D9)</f>
        <v>160733.33333333331</v>
      </c>
      <c r="E10" s="67">
        <f t="shared" si="1"/>
        <v>74233.333333333328</v>
      </c>
      <c r="F10" s="67">
        <f t="shared" si="1"/>
        <v>34733.333333333328</v>
      </c>
      <c r="G10" s="67">
        <f>SUM(G2:G9)</f>
        <v>269700</v>
      </c>
    </row>
    <row r="11" spans="1:7" x14ac:dyDescent="0.3">
      <c r="A11" s="134" t="str">
        <f>"EJE 2 "&amp;listado!B10</f>
        <v>EJE 2 Patrimonio, cultura y folclore como recursos turísticos</v>
      </c>
      <c r="B11" s="68" t="str">
        <f>listado!E10</f>
        <v>2.1</v>
      </c>
      <c r="C11" s="69" t="str">
        <f>listado!A10</f>
        <v>Museos etnográfico y urbano</v>
      </c>
      <c r="D11" s="70">
        <f>museos!C14</f>
        <v>54500</v>
      </c>
      <c r="E11" s="70">
        <f>museos!D14</f>
        <v>10000</v>
      </c>
      <c r="F11" s="70">
        <f>museos!E14</f>
        <v>10000</v>
      </c>
      <c r="G11" s="70">
        <f>SUM(D11:F11)</f>
        <v>74500</v>
      </c>
    </row>
    <row r="12" spans="1:7" x14ac:dyDescent="0.3">
      <c r="A12" s="135"/>
      <c r="B12" s="68" t="str">
        <f>listado!E11</f>
        <v>2.2</v>
      </c>
      <c r="C12" s="69" t="str">
        <f>listado!A11</f>
        <v>Adecuación de acceso y adarve del Castillo de Mombeltrán</v>
      </c>
      <c r="D12" s="70">
        <f>Castillo!C14</f>
        <v>103000</v>
      </c>
      <c r="E12" s="70">
        <f>Castillo!D14</f>
        <v>0</v>
      </c>
      <c r="F12" s="70">
        <f>Castillo!E14</f>
        <v>0</v>
      </c>
      <c r="G12" s="70">
        <f t="shared" si="0"/>
        <v>103000</v>
      </c>
    </row>
    <row r="13" spans="1:7" x14ac:dyDescent="0.3">
      <c r="A13" s="135"/>
      <c r="B13" s="68" t="str">
        <f>listado!E12</f>
        <v>2.3</v>
      </c>
      <c r="C13" s="69" t="str">
        <f>listado!A12</f>
        <v>Promoción del turismo asociado a la trashumancia y recursos etnográficos y folclóricos</v>
      </c>
      <c r="D13" s="70">
        <f>trashumancia!C14</f>
        <v>20000</v>
      </c>
      <c r="E13" s="70">
        <f>trashumancia!D14</f>
        <v>0</v>
      </c>
      <c r="F13" s="70">
        <f>trashumancia!E14</f>
        <v>0</v>
      </c>
      <c r="G13" s="70">
        <f t="shared" si="0"/>
        <v>20000</v>
      </c>
    </row>
    <row r="14" spans="1:7" x14ac:dyDescent="0.3">
      <c r="A14" s="135"/>
      <c r="B14" s="68" t="str">
        <f>listado!E13</f>
        <v>2.4</v>
      </c>
      <c r="C14" s="69" t="str">
        <f>listado!A13</f>
        <v>Rutas urbanas temáticas y señalización de monumentos con códigos QR</v>
      </c>
      <c r="D14" s="70">
        <f>rutasurbanas!C14</f>
        <v>10500</v>
      </c>
      <c r="E14" s="70">
        <f>rutasurbanas!D14</f>
        <v>0</v>
      </c>
      <c r="F14" s="70">
        <f>rutasurbanas!E14</f>
        <v>0</v>
      </c>
      <c r="G14" s="70">
        <f t="shared" si="0"/>
        <v>10500</v>
      </c>
    </row>
    <row r="15" spans="1:7" x14ac:dyDescent="0.3">
      <c r="A15" s="135"/>
      <c r="B15" s="68" t="str">
        <f>listado!E14</f>
        <v>2.5</v>
      </c>
      <c r="C15" s="69" t="str">
        <f>listado!A14</f>
        <v>Renovación de la señalización de los monumentos y urbana</v>
      </c>
      <c r="D15" s="70">
        <f>señaléticaurbana!C14</f>
        <v>0</v>
      </c>
      <c r="E15" s="70">
        <f>señaléticaurbana!D14</f>
        <v>13500</v>
      </c>
      <c r="F15" s="70">
        <f>señaléticaurbana!E14</f>
        <v>13500</v>
      </c>
      <c r="G15" s="70">
        <f t="shared" si="0"/>
        <v>27000</v>
      </c>
    </row>
    <row r="16" spans="1:7" x14ac:dyDescent="0.3">
      <c r="A16" s="136"/>
      <c r="B16" s="68"/>
      <c r="C16" s="71" t="s">
        <v>155</v>
      </c>
      <c r="D16" s="72">
        <f t="shared" ref="D16:F16" si="2">SUM(D11:D15)</f>
        <v>188000</v>
      </c>
      <c r="E16" s="72">
        <f t="shared" si="2"/>
        <v>23500</v>
      </c>
      <c r="F16" s="72">
        <f t="shared" si="2"/>
        <v>23500</v>
      </c>
      <c r="G16" s="72">
        <f>SUM(G11:G15)</f>
        <v>235000</v>
      </c>
    </row>
    <row r="17" spans="1:7" ht="14.25" customHeight="1" x14ac:dyDescent="0.3">
      <c r="A17" s="137" t="str">
        <f>"EJE 3 "&amp;listado!B15</f>
        <v>EJE 3 Promoción turística, presencia en Internet y ferias</v>
      </c>
      <c r="B17" s="73" t="str">
        <f>listado!E15</f>
        <v>3.1</v>
      </c>
      <c r="C17" s="74" t="str">
        <f>listado!A15</f>
        <v>Presencia en internet: web de turismo Cinco Villas</v>
      </c>
      <c r="D17" s="75">
        <f>web!C14</f>
        <v>46000</v>
      </c>
      <c r="E17" s="75">
        <f>web!D14</f>
        <v>13500</v>
      </c>
      <c r="F17" s="75">
        <f>web!E14</f>
        <v>11500</v>
      </c>
      <c r="G17" s="75">
        <f t="shared" si="0"/>
        <v>71000</v>
      </c>
    </row>
    <row r="18" spans="1:7" x14ac:dyDescent="0.3">
      <c r="A18" s="138"/>
      <c r="B18" s="73" t="str">
        <f>listado!E16</f>
        <v>3.2</v>
      </c>
      <c r="C18" s="74" t="str">
        <f>listado!A16</f>
        <v>Puntos de información turística con venta de productos locales</v>
      </c>
      <c r="D18" s="75">
        <f>PIT!C14</f>
        <v>39000</v>
      </c>
      <c r="E18" s="75">
        <f>PIT!D14</f>
        <v>0</v>
      </c>
      <c r="F18" s="75">
        <f>PIT!E14</f>
        <v>0</v>
      </c>
      <c r="G18" s="75">
        <f t="shared" si="0"/>
        <v>39000</v>
      </c>
    </row>
    <row r="19" spans="1:7" x14ac:dyDescent="0.3">
      <c r="A19" s="139"/>
      <c r="B19" s="73"/>
      <c r="C19" s="76" t="s">
        <v>156</v>
      </c>
      <c r="D19" s="77">
        <f t="shared" ref="D19:F19" si="3">SUM(D17:D18)</f>
        <v>85000</v>
      </c>
      <c r="E19" s="77">
        <f t="shared" si="3"/>
        <v>13500</v>
      </c>
      <c r="F19" s="77">
        <f t="shared" si="3"/>
        <v>11500</v>
      </c>
      <c r="G19" s="77">
        <f>SUM(G17:G18)</f>
        <v>110000</v>
      </c>
    </row>
    <row r="20" spans="1:7" ht="14.25" customHeight="1" x14ac:dyDescent="0.3">
      <c r="A20" s="140" t="str">
        <f>"EJE 4 "&amp;listado!B17</f>
        <v>EJE 4 Movilidad sostenible</v>
      </c>
      <c r="B20" s="83" t="str">
        <f>listado!E17</f>
        <v>4.1</v>
      </c>
      <c r="C20" s="84" t="str">
        <f>listado!A17</f>
        <v>Puntos de recarga de vehículos eléctricos</v>
      </c>
      <c r="D20" s="85">
        <f>puntorecarga!C14</f>
        <v>9000</v>
      </c>
      <c r="E20" s="85">
        <f>puntorecarga!D14</f>
        <v>0</v>
      </c>
      <c r="F20" s="85">
        <f>puntorecarga!E14</f>
        <v>0</v>
      </c>
      <c r="G20" s="85">
        <f t="shared" si="0"/>
        <v>9000</v>
      </c>
    </row>
    <row r="21" spans="1:7" ht="28.5" x14ac:dyDescent="0.3">
      <c r="A21" s="141"/>
      <c r="B21" s="83" t="str">
        <f>listado!E18</f>
        <v>4.2</v>
      </c>
      <c r="C21" s="84" t="str">
        <f>listado!A18</f>
        <v>Implantación de miniflota de coche compartido 0 emisiones, electrificación municipal y aplicación de movilidad rural</v>
      </c>
      <c r="D21" s="85">
        <f>'cochecom.'!C14</f>
        <v>87000</v>
      </c>
      <c r="E21" s="85">
        <f>'cochecom.'!D14</f>
        <v>14000</v>
      </c>
      <c r="F21" s="85">
        <f>'cochecom.'!E14</f>
        <v>14000</v>
      </c>
      <c r="G21" s="85">
        <f t="shared" si="0"/>
        <v>115000</v>
      </c>
    </row>
    <row r="22" spans="1:7" x14ac:dyDescent="0.3">
      <c r="A22" s="142"/>
      <c r="B22" s="83"/>
      <c r="C22" s="86" t="s">
        <v>157</v>
      </c>
      <c r="D22" s="87">
        <f t="shared" ref="D22:F22" si="4">SUM(D20:D21)</f>
        <v>96000</v>
      </c>
      <c r="E22" s="87">
        <f t="shared" si="4"/>
        <v>14000</v>
      </c>
      <c r="F22" s="87">
        <f t="shared" si="4"/>
        <v>14000</v>
      </c>
      <c r="G22" s="87">
        <f>SUM(G20:G21)</f>
        <v>124000</v>
      </c>
    </row>
    <row r="23" spans="1:7" ht="14.25" customHeight="1" x14ac:dyDescent="0.3">
      <c r="A23" s="143" t="str">
        <f>"EJE 5 "&amp;listado!B19</f>
        <v>EJE 5 Auditoría medioambiental y acreditaciones</v>
      </c>
      <c r="B23" s="78" t="str">
        <f>listado!E19</f>
        <v>5.1</v>
      </c>
      <c r="C23" s="79" t="str">
        <f>listado!A19</f>
        <v>Auditorías medioambientales de las empresas turísticas</v>
      </c>
      <c r="D23" s="80">
        <f>audit.med.amb.!C14</f>
        <v>13800</v>
      </c>
      <c r="E23" s="80">
        <f>audit.med.amb.!D14</f>
        <v>13800</v>
      </c>
      <c r="F23" s="80">
        <f>audit.med.amb.!E14</f>
        <v>0</v>
      </c>
      <c r="G23" s="80">
        <f t="shared" si="0"/>
        <v>27600</v>
      </c>
    </row>
    <row r="24" spans="1:7" x14ac:dyDescent="0.3">
      <c r="A24" s="144"/>
      <c r="B24" s="78" t="str">
        <f>listado!E20</f>
        <v>5.2</v>
      </c>
      <c r="C24" s="79" t="str">
        <f>listado!A20</f>
        <v>Adhesión al Club de Ecoturismo y acreditación Green Destination</v>
      </c>
      <c r="D24" s="80">
        <f>acreditaciones!C14</f>
        <v>11500</v>
      </c>
      <c r="E24" s="80">
        <f>acreditaciones!D14</f>
        <v>1250</v>
      </c>
      <c r="F24" s="80">
        <f>acreditaciones!E14</f>
        <v>1250</v>
      </c>
      <c r="G24" s="80">
        <f t="shared" si="0"/>
        <v>14000</v>
      </c>
    </row>
    <row r="25" spans="1:7" ht="28.5" x14ac:dyDescent="0.3">
      <c r="A25" s="144"/>
      <c r="B25" s="78" t="str">
        <f>listado!E21</f>
        <v>5.3</v>
      </c>
      <c r="C25" s="79" t="str">
        <f>listado!A21</f>
        <v>Incorporación del destino al Sistema Europeo de Indicadores Turísticos (ETIS) y de las empresas a la Carta Europea para el Turismo Sostenible en Áreas Protegidas (CETS)</v>
      </c>
      <c r="D25" s="80">
        <f>ETIS.CETS!C14</f>
        <v>0</v>
      </c>
      <c r="E25" s="80">
        <f>ETIS.CETS!D14</f>
        <v>0</v>
      </c>
      <c r="F25" s="80">
        <f>ETIS.CETS!E14</f>
        <v>0</v>
      </c>
      <c r="G25" s="80">
        <f t="shared" si="0"/>
        <v>0</v>
      </c>
    </row>
    <row r="26" spans="1:7" x14ac:dyDescent="0.3">
      <c r="A26" s="144"/>
      <c r="B26" s="78" t="str">
        <f>listado!E22</f>
        <v>5.4</v>
      </c>
      <c r="C26" s="79" t="str">
        <f>listado!A22</f>
        <v>Turismo Clima Neutral</v>
      </c>
      <c r="D26" s="80">
        <f>climaneutral!C14</f>
        <v>100</v>
      </c>
      <c r="E26" s="80">
        <f>climaneutral!D14</f>
        <v>100</v>
      </c>
      <c r="F26" s="80">
        <f>climaneutral!E14</f>
        <v>100</v>
      </c>
      <c r="G26" s="80">
        <f t="shared" si="0"/>
        <v>300</v>
      </c>
    </row>
    <row r="27" spans="1:7" x14ac:dyDescent="0.3">
      <c r="A27" s="145"/>
      <c r="B27" s="78"/>
      <c r="C27" s="81" t="s">
        <v>158</v>
      </c>
      <c r="D27" s="82">
        <f>SUM(D23:D26)</f>
        <v>25400</v>
      </c>
      <c r="E27" s="82">
        <f t="shared" ref="E27:G27" si="5">SUM(E23:E26)</f>
        <v>15150</v>
      </c>
      <c r="F27" s="82">
        <f t="shared" si="5"/>
        <v>1350</v>
      </c>
      <c r="G27" s="82">
        <f t="shared" si="5"/>
        <v>41900</v>
      </c>
    </row>
    <row r="28" spans="1:7" x14ac:dyDescent="0.3">
      <c r="C28" s="40" t="s">
        <v>160</v>
      </c>
      <c r="D28" s="41">
        <f>SUM(D10,D16,D19,D22,D27)</f>
        <v>555133.33333333326</v>
      </c>
      <c r="E28" s="41">
        <f t="shared" ref="E28:F28" si="6">SUM(E10,E16,E19,E22,E27)</f>
        <v>140383.33333333331</v>
      </c>
      <c r="F28" s="41">
        <f t="shared" si="6"/>
        <v>85083.333333333328</v>
      </c>
      <c r="G28" s="41">
        <f>SUM(G10,G16,G19,G22,G27)</f>
        <v>780600</v>
      </c>
    </row>
  </sheetData>
  <mergeCells count="5">
    <mergeCell ref="A2:A10"/>
    <mergeCell ref="A11:A16"/>
    <mergeCell ref="A17:A19"/>
    <mergeCell ref="A20:A22"/>
    <mergeCell ref="A23:A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C5" sqref="C5"/>
    </sheetView>
  </sheetViews>
  <sheetFormatPr baseColWidth="10" defaultRowHeight="15" x14ac:dyDescent="0.3"/>
  <cols>
    <col min="1" max="1" width="25.5703125" style="44" customWidth="1"/>
    <col min="2" max="2" width="5" style="44" customWidth="1"/>
  </cols>
  <sheetData>
    <row r="1" spans="1:3" x14ac:dyDescent="0.3">
      <c r="A1" s="44" t="s">
        <v>161</v>
      </c>
      <c r="B1" s="44" t="s">
        <v>271</v>
      </c>
      <c r="C1" t="str">
        <f ca="1">INDIRECT(A1&amp;B1,TRUE)</f>
        <v>Señalizar correctamente todas las rutas con materiales duraderos.
Completar la instalación de los postes de inicio y actualizar la información mostrada
Hacer transitables todas las rutas en primavera y retirar los escombros existentes.</v>
      </c>
    </row>
    <row r="2" spans="1:3" x14ac:dyDescent="0.3">
      <c r="A2" s="44" t="s">
        <v>162</v>
      </c>
      <c r="B2" s="44" t="s">
        <v>271</v>
      </c>
      <c r="C2" t="str">
        <f t="shared" ref="C2:C20" ca="1" si="0">INDIRECT(A2&amp;B2,TRUE)</f>
        <v>Recuperar un servicio de calidad de rutas guiadas, con un guía comunicativo y afable, buen conocedor del Barranco, para fomentar el turismo sostenible.</v>
      </c>
    </row>
    <row r="3" spans="1:3" x14ac:dyDescent="0.3">
      <c r="A3" s="44" t="s">
        <v>163</v>
      </c>
      <c r="B3" s="44" t="s">
        <v>271</v>
      </c>
      <c r="C3" t="str">
        <f t="shared" ca="1" si="0"/>
        <v>Ofrecer al turista interesado en el turismo activo una gama suficiente de fuentes de información para que pueda hacer las actividades por su cuenta con las máximas garantías.</v>
      </c>
    </row>
    <row r="4" spans="1:3" x14ac:dyDescent="0.3">
      <c r="A4" s="45" t="s">
        <v>171</v>
      </c>
      <c r="B4" s="44" t="s">
        <v>271</v>
      </c>
      <c r="C4" t="str">
        <f t="shared" ca="1" si="0"/>
        <v>Hacer del Barranco un lugar interesante para el fotógrafo de cielo nocturno, con tres puntos de observación bien conservados.</v>
      </c>
    </row>
    <row r="5" spans="1:3" x14ac:dyDescent="0.3">
      <c r="A5" s="45" t="s">
        <v>172</v>
      </c>
      <c r="B5" s="44" t="s">
        <v>271</v>
      </c>
      <c r="C5" t="str">
        <f t="shared" ca="1" si="0"/>
        <v>Atraer turistas de naturaleza de alto nivel y hacer de La Abantera un punto de observación de calidad.</v>
      </c>
    </row>
    <row r="6" spans="1:3" x14ac:dyDescent="0.3">
      <c r="A6" s="44" t="s">
        <v>164</v>
      </c>
      <c r="B6" s="44" t="s">
        <v>271</v>
      </c>
      <c r="C6" t="str">
        <f t="shared" ca="1" si="0"/>
        <v>Hacer del Barranco un punto interesante para los turistas de autocaravanas, ofreciendo un área de servicio moderno, bien cuidado y atractivo.</v>
      </c>
    </row>
    <row r="7" spans="1:3" x14ac:dyDescent="0.3">
      <c r="A7" s="44" t="s">
        <v>165</v>
      </c>
      <c r="B7" s="44" t="s">
        <v>271</v>
      </c>
      <c r="C7" t="str">
        <f t="shared" ca="1" si="0"/>
        <v>Completar la oferta de turismo de naturaleza con la temática botánica, poniendo en valor un arboreto existente pero con falta de mantenimiento.</v>
      </c>
    </row>
    <row r="8" spans="1:3" x14ac:dyDescent="0.3">
      <c r="A8" s="44" t="s">
        <v>248</v>
      </c>
      <c r="B8" s="44" t="s">
        <v>271</v>
      </c>
      <c r="C8" t="str">
        <f t="shared" ca="1" si="0"/>
        <v>Mejorar la experiencia del usuario de la BTT, completar la oferta de turismo activo en la zona, atraer visitantes que demandan un alto nivel de servicios asociados a la BTT o alquiler de BTT.</v>
      </c>
    </row>
    <row r="9" spans="1:3" x14ac:dyDescent="0.3">
      <c r="A9" s="44" t="s">
        <v>233</v>
      </c>
      <c r="B9" s="44" t="s">
        <v>271</v>
      </c>
      <c r="C9" t="str">
        <f t="shared" ca="1" si="0"/>
        <v>Atraer turistas y mejorar su experiencia durante su estancia en la zona con museos interesantes y entretenidos.</v>
      </c>
    </row>
    <row r="10" spans="1:3" x14ac:dyDescent="0.3">
      <c r="A10" s="44" t="s">
        <v>166</v>
      </c>
      <c r="B10" s="44" t="s">
        <v>271</v>
      </c>
      <c r="C10" t="str">
        <f t="shared" ca="1" si="0"/>
        <v>Garantizar el acceso seguro de visitantes al monumento, aumentar la oferta turística y dar mayor valor al monumento.</v>
      </c>
    </row>
    <row r="11" spans="1:3" x14ac:dyDescent="0.3">
      <c r="A11" s="44" t="s">
        <v>167</v>
      </c>
      <c r="B11" s="44" t="s">
        <v>271</v>
      </c>
      <c r="C11" t="str">
        <f t="shared" ca="1" si="0"/>
        <v>Atraer visitantes de fin de semana y verano para experiencias relacionadas con la trashumancia, los recursos etnográficos y el folclore barranqueño.</v>
      </c>
    </row>
    <row r="12" spans="1:3" x14ac:dyDescent="0.3">
      <c r="A12" s="44" t="s">
        <v>173</v>
      </c>
      <c r="B12" s="44" t="s">
        <v>271</v>
      </c>
      <c r="C12" t="str">
        <f t="shared" ca="1" si="0"/>
        <v>Crear un producto cultural de interés dentro de los municipios, para los visitantes que se decantan por este tipo de turismo y buscan experiencias distintas. La señalización con QR busca mejorar la experiencia del visitante autoguiado.</v>
      </c>
    </row>
    <row r="13" spans="1:3" x14ac:dyDescent="0.3">
      <c r="A13" s="44" t="s">
        <v>174</v>
      </c>
      <c r="B13" s="44" t="s">
        <v>271</v>
      </c>
      <c r="C13" t="str">
        <f t="shared" ca="1" si="0"/>
        <v>Dar una imagen renovada y de calidad en los sitios de interés de las cinco localidades del Barranco, con materiales duraderos y resistentes.</v>
      </c>
    </row>
    <row r="14" spans="1:3" x14ac:dyDescent="0.3">
      <c r="A14" s="44" t="s">
        <v>168</v>
      </c>
      <c r="B14" s="44" t="s">
        <v>271</v>
      </c>
      <c r="C14" t="str">
        <f t="shared" ca="1" si="0"/>
        <v>El principal objetivo es que la web turística actúe como primera fuente de información para visitantes y empresarios turísticos. Además, debe servir para dar una imagen moderna y completa de la comarca. El máximo nivel de objetivo sería actuar como central de reservas.</v>
      </c>
    </row>
    <row r="15" spans="1:3" x14ac:dyDescent="0.3">
      <c r="A15" s="44" t="s">
        <v>169</v>
      </c>
      <c r="B15" s="44" t="s">
        <v>271</v>
      </c>
      <c r="C15" t="str">
        <f t="shared" ca="1" si="0"/>
        <v>Garantizar la satisfacción del visitante en su búsqueda de información turística o en consejos para mejorar su estancia en el Barranco.</v>
      </c>
    </row>
    <row r="16" spans="1:3" x14ac:dyDescent="0.3">
      <c r="A16" s="44" t="s">
        <v>175</v>
      </c>
      <c r="B16" s="44" t="s">
        <v>271</v>
      </c>
      <c r="C16" t="str">
        <f t="shared" ca="1" si="0"/>
        <v>Hacer del Barranco un punto de paso y estancia atractivo para el visitante propietario o usuario de un vehículo eléctrico 100%. Además, fomentar la transición a la movilidad sostenible en la población local.</v>
      </c>
    </row>
    <row r="17" spans="1:3" x14ac:dyDescent="0.3">
      <c r="A17" s="44" t="s">
        <v>176</v>
      </c>
      <c r="B17" s="44" t="s">
        <v>271</v>
      </c>
      <c r="C17" t="str">
        <f t="shared" ca="1" si="0"/>
        <v>Dar el primer paso hacia la movilidad sostenible en la comarca, para estimular la transición en la población y atraer visitantes que valoran estos otros aspectos medioambientales en su destino.</v>
      </c>
    </row>
    <row r="18" spans="1:3" x14ac:dyDescent="0.3">
      <c r="A18" s="44" t="s">
        <v>177</v>
      </c>
      <c r="B18" s="44" t="s">
        <v>271</v>
      </c>
      <c r="C18" t="str">
        <f t="shared" ca="1" si="0"/>
        <v>Sensibilizar a propietarios y encargados es el primer objetivo, poniendo cifras a las emisiones de sus negocios. El segundo es conseguir que implanten medidas de reducción. El último objetivo es divulgar la actuación a los clientes.</v>
      </c>
    </row>
    <row r="19" spans="1:3" x14ac:dyDescent="0.3">
      <c r="A19" s="44" t="s">
        <v>170</v>
      </c>
      <c r="B19" s="44" t="s">
        <v>271</v>
      </c>
      <c r="C19" t="str">
        <f t="shared" ca="1" si="0"/>
        <v>Ambas actuaciones tienen como objetivo servir a todos los actores del Plan para que la sostenibilidad sea el gran objetivo final del Plan, con una hoja de ruta más allá de los 3 años de duración.</v>
      </c>
    </row>
    <row r="20" spans="1:3" x14ac:dyDescent="0.3">
      <c r="A20" s="44" t="s">
        <v>178</v>
      </c>
      <c r="B20" s="44" t="s">
        <v>271</v>
      </c>
      <c r="C20" t="str">
        <f t="shared" ca="1" si="0"/>
        <v>Ambos sistemas se complementan con los objetivos de la línea 5.2, para que todos los actores locales, administraciones y empresarios asuman como gran objetivo la sostenibilidad del turismo en el Barranco.</v>
      </c>
    </row>
    <row r="21" spans="1:3" x14ac:dyDescent="0.3">
      <c r="A21" s="44" t="s">
        <v>213</v>
      </c>
      <c r="B21" s="44" t="s">
        <v>271</v>
      </c>
      <c r="C21" t="str">
        <f t="shared" ref="C21" ca="1" si="1">INDIRECT(A21&amp;B21,TRUE)</f>
        <v>Conseguir un saldo lo más cercano a 0 posible en las emisiones de GEI asociadas al propio Plan y a las empresas turísticas del Barranco.
Divulgar y concienciar a empresarios y clientes de esta faceta del turismo.</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Normal="100" workbookViewId="0">
      <selection activeCell="E6" sqref="E6"/>
    </sheetView>
  </sheetViews>
  <sheetFormatPr baseColWidth="10" defaultRowHeight="15" x14ac:dyDescent="0.3"/>
  <cols>
    <col min="1" max="1" width="14.28515625" customWidth="1"/>
    <col min="2" max="2" width="69.7109375" customWidth="1"/>
    <col min="3" max="3" width="11.7109375" style="2" bestFit="1" customWidth="1"/>
    <col min="4" max="4" width="11.5703125" style="4" bestFit="1" customWidth="1"/>
    <col min="5" max="5" width="11.5703125" style="5" bestFit="1" customWidth="1"/>
  </cols>
  <sheetData>
    <row r="1" spans="1:6" ht="15.75" thickBot="1" x14ac:dyDescent="0.35">
      <c r="A1" s="88" t="s">
        <v>0</v>
      </c>
      <c r="B1" s="89"/>
    </row>
    <row r="2" spans="1:6" ht="15.75" thickBot="1" x14ac:dyDescent="0.35">
      <c r="A2" s="54" t="s">
        <v>185</v>
      </c>
      <c r="B2" s="51" t="str">
        <f>VLOOKUP(B4,listado!A:E,5,FALSE)</f>
        <v>1.1</v>
      </c>
    </row>
    <row r="3" spans="1:6" ht="26.25" thickBot="1" x14ac:dyDescent="0.35">
      <c r="A3" s="55" t="s">
        <v>186</v>
      </c>
      <c r="B3" s="52" t="str">
        <f>VLOOKUP(B4,listado!A:E,2,FALSE)</f>
        <v>Turismo activo sostenible</v>
      </c>
    </row>
    <row r="4" spans="1:6" ht="15.75" thickBot="1" x14ac:dyDescent="0.35">
      <c r="A4" s="56" t="s">
        <v>187</v>
      </c>
      <c r="B4" s="53" t="s">
        <v>2</v>
      </c>
    </row>
    <row r="5" spans="1:6" ht="15.75" thickBot="1" x14ac:dyDescent="0.35">
      <c r="A5" s="57" t="s">
        <v>188</v>
      </c>
      <c r="B5" s="6" t="s">
        <v>3</v>
      </c>
      <c r="C5" s="2" t="s">
        <v>7</v>
      </c>
      <c r="D5" s="4" t="s">
        <v>8</v>
      </c>
    </row>
    <row r="6" spans="1:6" ht="228.75" thickBot="1" x14ac:dyDescent="0.35">
      <c r="A6" s="57" t="s">
        <v>189</v>
      </c>
      <c r="B6" s="3" t="s">
        <v>63</v>
      </c>
      <c r="C6" s="1">
        <f>LEN(B6)</f>
        <v>918</v>
      </c>
      <c r="D6" s="4">
        <v>1000</v>
      </c>
      <c r="E6" s="4" t="str">
        <f>IF(C6&lt;=D6,"ok","mal")</f>
        <v>ok</v>
      </c>
    </row>
    <row r="7" spans="1:6" ht="157.5" thickBot="1" x14ac:dyDescent="0.35">
      <c r="A7" s="57" t="s">
        <v>190</v>
      </c>
      <c r="B7" s="3" t="s">
        <v>265</v>
      </c>
      <c r="C7" s="1">
        <f>LEN(B7)</f>
        <v>621</v>
      </c>
      <c r="D7" s="4">
        <v>650</v>
      </c>
      <c r="E7" s="4" t="str">
        <f t="shared" ref="E7:E13" si="0">IF(C7&lt;=D7,"ok","mal")</f>
        <v>ok</v>
      </c>
    </row>
    <row r="8" spans="1:6" ht="43.5" thickBot="1" x14ac:dyDescent="0.35">
      <c r="A8" s="57" t="s">
        <v>191</v>
      </c>
      <c r="B8" s="3" t="s">
        <v>9</v>
      </c>
      <c r="C8" s="1">
        <f t="shared" ref="C8:C12" si="1">LEN(B8)</f>
        <v>235</v>
      </c>
      <c r="D8" s="4">
        <v>250</v>
      </c>
      <c r="E8" s="4" t="str">
        <f t="shared" si="0"/>
        <v>ok</v>
      </c>
    </row>
    <row r="9" spans="1:6" ht="15.75" thickBot="1" x14ac:dyDescent="0.35">
      <c r="A9" s="57" t="s">
        <v>192</v>
      </c>
      <c r="B9" s="3" t="s">
        <v>4</v>
      </c>
      <c r="E9" s="4"/>
    </row>
    <row r="10" spans="1:6" ht="26.25" thickBot="1" x14ac:dyDescent="0.35">
      <c r="A10" s="57" t="s">
        <v>193</v>
      </c>
      <c r="B10" s="3" t="s">
        <v>5</v>
      </c>
      <c r="E10" s="4"/>
    </row>
    <row r="11" spans="1:6" ht="57.75" thickBot="1" x14ac:dyDescent="0.35">
      <c r="A11" s="57" t="s">
        <v>194</v>
      </c>
      <c r="B11" s="3" t="s">
        <v>111</v>
      </c>
      <c r="C11" s="17">
        <v>80000</v>
      </c>
      <c r="E11" s="4"/>
    </row>
    <row r="12" spans="1:6" ht="26.25" thickBot="1" x14ac:dyDescent="0.35">
      <c r="A12" s="57" t="s">
        <v>195</v>
      </c>
      <c r="B12" s="3"/>
      <c r="C12" s="1">
        <f t="shared" si="1"/>
        <v>0</v>
      </c>
      <c r="D12" s="4">
        <v>600</v>
      </c>
      <c r="E12" s="4" t="str">
        <f t="shared" si="0"/>
        <v>ok</v>
      </c>
    </row>
    <row r="13" spans="1:6" ht="157.5" thickBot="1" x14ac:dyDescent="0.35">
      <c r="A13" s="57" t="s">
        <v>196</v>
      </c>
      <c r="B13" s="3" t="s">
        <v>6</v>
      </c>
      <c r="C13" s="1">
        <f>LEN(B13)</f>
        <v>449</v>
      </c>
      <c r="D13" s="4">
        <v>500</v>
      </c>
      <c r="E13" s="4" t="str">
        <f t="shared" si="0"/>
        <v>ok</v>
      </c>
    </row>
    <row r="14" spans="1:6" ht="114.75" thickBot="1" x14ac:dyDescent="0.35">
      <c r="A14" s="61" t="s">
        <v>197</v>
      </c>
      <c r="B14" s="62" t="s">
        <v>51</v>
      </c>
      <c r="C14" s="20">
        <f>20000+10000+17500+10500</f>
        <v>58000</v>
      </c>
      <c r="D14" s="20">
        <v>11000</v>
      </c>
      <c r="E14" s="20">
        <v>11000</v>
      </c>
      <c r="F14" s="13" t="str">
        <f>IF(SUM(C14:E14)=C11,"ok","mal")</f>
        <v>ok</v>
      </c>
    </row>
    <row r="15" spans="1:6" ht="30" customHeight="1" thickBot="1" x14ac:dyDescent="0.35">
      <c r="A15" s="146" t="s">
        <v>136</v>
      </c>
      <c r="B15" s="147"/>
    </row>
    <row r="16" spans="1:6" ht="15.75" thickBot="1" x14ac:dyDescent="0.35">
      <c r="A16" s="152" t="s">
        <v>139</v>
      </c>
      <c r="B16" s="153"/>
      <c r="C16"/>
    </row>
    <row r="17" spans="1:3" ht="40.5" customHeight="1" thickBot="1" x14ac:dyDescent="0.35">
      <c r="A17" s="148" t="s">
        <v>137</v>
      </c>
      <c r="B17" s="149"/>
      <c r="C17"/>
    </row>
    <row r="18" spans="1:3" ht="15.75" thickBot="1" x14ac:dyDescent="0.35">
      <c r="A18" s="152" t="s">
        <v>140</v>
      </c>
      <c r="B18" s="153"/>
      <c r="C18"/>
    </row>
    <row r="19" spans="1:3" ht="15.75" thickBot="1" x14ac:dyDescent="0.35">
      <c r="A19" s="150" t="s">
        <v>138</v>
      </c>
      <c r="B19" s="151"/>
    </row>
    <row r="20" spans="1:3" ht="15.75" thickBot="1" x14ac:dyDescent="0.35">
      <c r="A20" s="152" t="s">
        <v>140</v>
      </c>
      <c r="B20" s="153"/>
    </row>
  </sheetData>
  <dataConsolidate/>
  <mergeCells count="6">
    <mergeCell ref="A15:B15"/>
    <mergeCell ref="A17:B17"/>
    <mergeCell ref="A19:B19"/>
    <mergeCell ref="A20:B20"/>
    <mergeCell ref="A18:B18"/>
    <mergeCell ref="A16:B16"/>
  </mergeCells>
  <conditionalFormatting sqref="E6:E13">
    <cfRule type="cellIs" dxfId="41" priority="1" operator="equal">
      <formula>"mal"</formula>
    </cfRule>
    <cfRule type="cellIs" dxfId="40" priority="2" operator="equal">
      <formula>"ok"</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topLeftCell="A11" workbookViewId="0">
      <selection activeCell="C14" sqref="C14"/>
    </sheetView>
  </sheetViews>
  <sheetFormatPr baseColWidth="10" defaultRowHeight="15" x14ac:dyDescent="0.3"/>
  <cols>
    <col min="1" max="1" width="14.28515625" style="58" customWidth="1"/>
    <col min="2" max="2" width="69.7109375" style="58" customWidth="1"/>
    <col min="3" max="3" width="11.7109375" style="2" bestFit="1" customWidth="1"/>
    <col min="4" max="4" width="11.7109375" style="4" bestFit="1" customWidth="1"/>
    <col min="5" max="5" width="11.7109375" style="5" bestFit="1" customWidth="1"/>
  </cols>
  <sheetData>
    <row r="1" spans="1:6" ht="15.75" thickBot="1" x14ac:dyDescent="0.35">
      <c r="A1" s="88" t="s">
        <v>0</v>
      </c>
      <c r="B1" s="89"/>
    </row>
    <row r="2" spans="1:6" ht="15.75" thickBot="1" x14ac:dyDescent="0.35">
      <c r="A2" s="54" t="s">
        <v>185</v>
      </c>
      <c r="B2" s="51" t="str">
        <f>VLOOKUP(B4,listado!A:E,5,FALSE)</f>
        <v>1.2</v>
      </c>
    </row>
    <row r="3" spans="1:6" ht="26.25" thickBot="1" x14ac:dyDescent="0.35">
      <c r="A3" s="55" t="s">
        <v>186</v>
      </c>
      <c r="B3" s="52" t="str">
        <f>VLOOKUP(B4,listado!A:E,2,FALSE)</f>
        <v>Turismo activo sostenible</v>
      </c>
    </row>
    <row r="4" spans="1:6" ht="15.75" thickBot="1" x14ac:dyDescent="0.35">
      <c r="A4" s="56" t="s">
        <v>187</v>
      </c>
      <c r="B4" s="53" t="s">
        <v>72</v>
      </c>
    </row>
    <row r="5" spans="1:6" ht="15.75" thickBot="1" x14ac:dyDescent="0.35">
      <c r="A5" s="57" t="s">
        <v>188</v>
      </c>
      <c r="B5" s="60" t="s">
        <v>3</v>
      </c>
      <c r="C5" s="2" t="s">
        <v>7</v>
      </c>
      <c r="D5" s="4" t="s">
        <v>8</v>
      </c>
    </row>
    <row r="6" spans="1:6" ht="72" thickBot="1" x14ac:dyDescent="0.35">
      <c r="A6" s="57" t="s">
        <v>189</v>
      </c>
      <c r="B6" s="59" t="s">
        <v>10</v>
      </c>
      <c r="C6" s="1">
        <f>LEN(B6)</f>
        <v>343</v>
      </c>
      <c r="D6" s="4">
        <v>1000</v>
      </c>
      <c r="E6" s="4" t="str">
        <f>IF(C6&lt;=D6,"ok","mal")</f>
        <v>ok</v>
      </c>
    </row>
    <row r="7" spans="1:6" ht="72" thickBot="1" x14ac:dyDescent="0.35">
      <c r="A7" s="57" t="s">
        <v>190</v>
      </c>
      <c r="B7" s="59" t="s">
        <v>11</v>
      </c>
      <c r="C7" s="1">
        <f>LEN(B7)</f>
        <v>378</v>
      </c>
      <c r="D7" s="4">
        <v>650</v>
      </c>
      <c r="E7" s="4" t="str">
        <f t="shared" ref="E7:E13" si="0">IF(C7&lt;=D7,"ok","mal")</f>
        <v>ok</v>
      </c>
    </row>
    <row r="8" spans="1:6" ht="29.25" thickBot="1" x14ac:dyDescent="0.35">
      <c r="A8" s="57" t="s">
        <v>191</v>
      </c>
      <c r="B8" s="59" t="s">
        <v>214</v>
      </c>
      <c r="C8" s="1">
        <f t="shared" ref="C8:C12" si="1">LEN(B8)</f>
        <v>151</v>
      </c>
      <c r="D8" s="4">
        <v>250</v>
      </c>
      <c r="E8" s="4" t="str">
        <f t="shared" si="0"/>
        <v>ok</v>
      </c>
    </row>
    <row r="9" spans="1:6" ht="15.75" thickBot="1" x14ac:dyDescent="0.35">
      <c r="A9" s="57" t="s">
        <v>192</v>
      </c>
      <c r="B9" s="59" t="s">
        <v>4</v>
      </c>
      <c r="E9" s="4"/>
    </row>
    <row r="10" spans="1:6" ht="26.25" thickBot="1" x14ac:dyDescent="0.35">
      <c r="A10" s="57" t="s">
        <v>193</v>
      </c>
      <c r="B10" s="59" t="s">
        <v>12</v>
      </c>
      <c r="E10" s="4"/>
    </row>
    <row r="11" spans="1:6" ht="72" thickBot="1" x14ac:dyDescent="0.35">
      <c r="A11" s="57" t="s">
        <v>194</v>
      </c>
      <c r="B11" s="59" t="s">
        <v>270</v>
      </c>
      <c r="C11" s="17">
        <v>64200</v>
      </c>
      <c r="E11" s="4"/>
    </row>
    <row r="12" spans="1:6" ht="26.25" thickBot="1" x14ac:dyDescent="0.35">
      <c r="A12" s="57" t="s">
        <v>195</v>
      </c>
      <c r="B12" s="59"/>
      <c r="C12" s="1">
        <f t="shared" si="1"/>
        <v>0</v>
      </c>
      <c r="D12" s="4">
        <v>600</v>
      </c>
      <c r="E12" s="4" t="str">
        <f t="shared" si="0"/>
        <v>ok</v>
      </c>
    </row>
    <row r="13" spans="1:6" ht="57.75" thickBot="1" x14ac:dyDescent="0.35">
      <c r="A13" s="57" t="s">
        <v>196</v>
      </c>
      <c r="B13" s="59" t="s">
        <v>13</v>
      </c>
      <c r="C13" s="1">
        <f>LEN(B13)</f>
        <v>227</v>
      </c>
      <c r="D13" s="4">
        <v>500</v>
      </c>
      <c r="E13" s="4" t="str">
        <f t="shared" si="0"/>
        <v>ok</v>
      </c>
    </row>
    <row r="14" spans="1:6" ht="43.5" thickBot="1" x14ac:dyDescent="0.35">
      <c r="A14" s="61" t="s">
        <v>197</v>
      </c>
      <c r="B14" s="62" t="s">
        <v>14</v>
      </c>
      <c r="C14" s="34">
        <f>61000/3+2000+400</f>
        <v>22733.333333333332</v>
      </c>
      <c r="D14" s="34">
        <f>61000/3+400</f>
        <v>20733.333333333332</v>
      </c>
      <c r="E14" s="34">
        <f>61000/3+400</f>
        <v>20733.333333333332</v>
      </c>
      <c r="F14" t="str">
        <f>IF(SUM(C14:E14)=C11,"ok","mal")</f>
        <v>ok</v>
      </c>
    </row>
    <row r="15" spans="1:6" ht="35.25" customHeight="1" thickBot="1" x14ac:dyDescent="0.35">
      <c r="A15" s="146" t="s">
        <v>136</v>
      </c>
      <c r="B15" s="147"/>
      <c r="C15"/>
    </row>
    <row r="16" spans="1:6" ht="15.75" thickBot="1" x14ac:dyDescent="0.35">
      <c r="A16" s="152" t="s">
        <v>140</v>
      </c>
      <c r="B16" s="153"/>
      <c r="C16"/>
    </row>
    <row r="17" spans="1:3" ht="39" customHeight="1" thickBot="1" x14ac:dyDescent="0.35">
      <c r="A17" s="148" t="s">
        <v>137</v>
      </c>
      <c r="B17" s="149"/>
      <c r="C17"/>
    </row>
    <row r="18" spans="1:3" ht="15.75" thickBot="1" x14ac:dyDescent="0.35">
      <c r="A18" s="152" t="s">
        <v>140</v>
      </c>
      <c r="B18" s="153"/>
      <c r="C18"/>
    </row>
    <row r="19" spans="1:3" ht="15.75" thickBot="1" x14ac:dyDescent="0.35">
      <c r="A19" s="150" t="s">
        <v>138</v>
      </c>
      <c r="B19" s="151"/>
      <c r="C19"/>
    </row>
    <row r="20" spans="1:3" ht="15.75" thickBot="1" x14ac:dyDescent="0.35">
      <c r="A20" s="152" t="s">
        <v>140</v>
      </c>
      <c r="B20" s="153"/>
      <c r="C20"/>
    </row>
    <row r="21" spans="1:3" x14ac:dyDescent="0.3">
      <c r="C21"/>
    </row>
  </sheetData>
  <mergeCells count="6">
    <mergeCell ref="A20:B20"/>
    <mergeCell ref="A15:B15"/>
    <mergeCell ref="A16:B16"/>
    <mergeCell ref="A17:B17"/>
    <mergeCell ref="A18:B18"/>
    <mergeCell ref="A19:B19"/>
  </mergeCells>
  <conditionalFormatting sqref="E6:E13">
    <cfRule type="cellIs" dxfId="39" priority="1" operator="equal">
      <formula>"mal"</formula>
    </cfRule>
    <cfRule type="cellIs" dxfId="38" priority="2" operator="equal">
      <formula>"ok"</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baseColWidth="10" defaultRowHeight="15" x14ac:dyDescent="0.3"/>
  <cols>
    <col min="1" max="1" width="14.28515625" style="58" customWidth="1"/>
    <col min="2" max="2" width="69.7109375" style="58" customWidth="1"/>
    <col min="3" max="3" width="10.7109375" style="2" bestFit="1" customWidth="1"/>
    <col min="4" max="4" width="10.5703125" style="4" bestFit="1" customWidth="1"/>
    <col min="5" max="5" width="4.140625" style="5" bestFit="1" customWidth="1"/>
  </cols>
  <sheetData>
    <row r="1" spans="1:6" ht="15.75" thickBot="1" x14ac:dyDescent="0.35">
      <c r="A1" s="88" t="s">
        <v>0</v>
      </c>
      <c r="B1" s="89"/>
    </row>
    <row r="2" spans="1:6" ht="15.75" thickBot="1" x14ac:dyDescent="0.35">
      <c r="A2" s="54" t="s">
        <v>185</v>
      </c>
      <c r="B2" s="51" t="str">
        <f>VLOOKUP(B4,listado!A:E,5,FALSE)</f>
        <v>1.3</v>
      </c>
    </row>
    <row r="3" spans="1:6" ht="26.25" thickBot="1" x14ac:dyDescent="0.35">
      <c r="A3" s="55" t="s">
        <v>186</v>
      </c>
      <c r="B3" s="52" t="str">
        <f>VLOOKUP(B4,listado!A:E,2,FALSE)</f>
        <v>Turismo activo sostenible</v>
      </c>
    </row>
    <row r="4" spans="1:6" ht="15.75" thickBot="1" x14ac:dyDescent="0.35">
      <c r="A4" s="56" t="s">
        <v>187</v>
      </c>
      <c r="B4" s="53" t="s">
        <v>15</v>
      </c>
      <c r="F4" s="46"/>
    </row>
    <row r="5" spans="1:6" ht="15.75" thickBot="1" x14ac:dyDescent="0.35">
      <c r="A5" s="57" t="s">
        <v>188</v>
      </c>
      <c r="B5" s="60" t="s">
        <v>16</v>
      </c>
      <c r="C5" s="2" t="s">
        <v>7</v>
      </c>
      <c r="D5" s="4" t="s">
        <v>8</v>
      </c>
    </row>
    <row r="6" spans="1:6" ht="143.25" thickBot="1" x14ac:dyDescent="0.35">
      <c r="A6" s="57" t="s">
        <v>189</v>
      </c>
      <c r="B6" s="59" t="s">
        <v>20</v>
      </c>
      <c r="C6" s="1">
        <f>LEN(B6)</f>
        <v>713</v>
      </c>
      <c r="D6" s="4">
        <v>1000</v>
      </c>
      <c r="E6" s="4" t="str">
        <f>IF(C6&lt;=D6,"ok","mal")</f>
        <v>ok</v>
      </c>
    </row>
    <row r="7" spans="1:6" ht="86.25" thickBot="1" x14ac:dyDescent="0.35">
      <c r="A7" s="57" t="s">
        <v>190</v>
      </c>
      <c r="B7" s="59" t="s">
        <v>17</v>
      </c>
      <c r="C7" s="1">
        <f>LEN(B7)</f>
        <v>430</v>
      </c>
      <c r="D7" s="4">
        <v>650</v>
      </c>
      <c r="E7" s="4" t="str">
        <f t="shared" ref="E7:E13" si="0">IF(C7&lt;=D7,"ok","mal")</f>
        <v>ok</v>
      </c>
    </row>
    <row r="8" spans="1:6" ht="43.5" thickBot="1" x14ac:dyDescent="0.35">
      <c r="A8" s="57" t="s">
        <v>191</v>
      </c>
      <c r="B8" s="59" t="s">
        <v>18</v>
      </c>
      <c r="C8" s="1">
        <f t="shared" ref="C8:C12" si="1">LEN(B8)</f>
        <v>174</v>
      </c>
      <c r="D8" s="4">
        <v>250</v>
      </c>
      <c r="E8" s="4" t="str">
        <f t="shared" si="0"/>
        <v>ok</v>
      </c>
    </row>
    <row r="9" spans="1:6" ht="15.75" thickBot="1" x14ac:dyDescent="0.35">
      <c r="A9" s="57" t="s">
        <v>192</v>
      </c>
      <c r="B9" s="59" t="s">
        <v>4</v>
      </c>
      <c r="E9" s="4"/>
    </row>
    <row r="10" spans="1:6" ht="29.25" thickBot="1" x14ac:dyDescent="0.35">
      <c r="A10" s="57" t="s">
        <v>193</v>
      </c>
      <c r="B10" s="59" t="s">
        <v>19</v>
      </c>
      <c r="E10" s="4"/>
    </row>
    <row r="11" spans="1:6" ht="72" thickBot="1" x14ac:dyDescent="0.35">
      <c r="A11" s="57" t="s">
        <v>194</v>
      </c>
      <c r="B11" s="59" t="s">
        <v>21</v>
      </c>
      <c r="C11" s="17">
        <v>8000</v>
      </c>
      <c r="E11" s="4"/>
    </row>
    <row r="12" spans="1:6" ht="26.25" thickBot="1" x14ac:dyDescent="0.35">
      <c r="A12" s="57" t="s">
        <v>195</v>
      </c>
      <c r="B12" s="59"/>
      <c r="C12" s="1">
        <f t="shared" si="1"/>
        <v>0</v>
      </c>
      <c r="D12" s="4">
        <v>600</v>
      </c>
      <c r="E12" s="4" t="str">
        <f t="shared" si="0"/>
        <v>ok</v>
      </c>
    </row>
    <row r="13" spans="1:6" ht="57.75" thickBot="1" x14ac:dyDescent="0.35">
      <c r="A13" s="57" t="s">
        <v>196</v>
      </c>
      <c r="B13" s="59" t="s">
        <v>22</v>
      </c>
      <c r="C13" s="1">
        <f>LEN(B13)</f>
        <v>146</v>
      </c>
      <c r="D13" s="4">
        <v>500</v>
      </c>
      <c r="E13" s="4" t="str">
        <f t="shared" si="0"/>
        <v>ok</v>
      </c>
    </row>
    <row r="14" spans="1:6" ht="43.5" thickBot="1" x14ac:dyDescent="0.35">
      <c r="A14" s="61" t="s">
        <v>197</v>
      </c>
      <c r="B14" s="62" t="s">
        <v>23</v>
      </c>
      <c r="C14" s="35">
        <f>2500+500</f>
        <v>3000</v>
      </c>
      <c r="D14" s="35">
        <v>5000</v>
      </c>
      <c r="E14" s="35"/>
      <c r="F14" s="13" t="str">
        <f>IF(SUM(C14:E14)=C11,"ok","mal")</f>
        <v>ok</v>
      </c>
    </row>
    <row r="15" spans="1:6" ht="32.25" customHeight="1" thickBot="1" x14ac:dyDescent="0.35">
      <c r="A15" s="146" t="s">
        <v>136</v>
      </c>
      <c r="B15" s="147"/>
      <c r="C15"/>
    </row>
    <row r="16" spans="1:6" ht="15.75" thickBot="1" x14ac:dyDescent="0.35">
      <c r="A16" s="152" t="s">
        <v>140</v>
      </c>
      <c r="B16" s="153"/>
      <c r="C16"/>
    </row>
    <row r="17" spans="1:3" ht="41.25" customHeight="1" thickBot="1" x14ac:dyDescent="0.35">
      <c r="A17" s="148" t="s">
        <v>137</v>
      </c>
      <c r="B17" s="149"/>
      <c r="C17"/>
    </row>
    <row r="18" spans="1:3" ht="15.75" thickBot="1" x14ac:dyDescent="0.35">
      <c r="A18" s="152" t="s">
        <v>140</v>
      </c>
      <c r="B18" s="153"/>
      <c r="C18"/>
    </row>
    <row r="19" spans="1:3" ht="15.75" thickBot="1" x14ac:dyDescent="0.35">
      <c r="A19" s="150" t="s">
        <v>138</v>
      </c>
      <c r="B19" s="151"/>
      <c r="C19"/>
    </row>
    <row r="20" spans="1:3" ht="15.75" thickBot="1" x14ac:dyDescent="0.35">
      <c r="A20" s="152" t="s">
        <v>140</v>
      </c>
      <c r="B20" s="153"/>
      <c r="C20"/>
    </row>
  </sheetData>
  <mergeCells count="6">
    <mergeCell ref="A20:B20"/>
    <mergeCell ref="A15:B15"/>
    <mergeCell ref="A16:B16"/>
    <mergeCell ref="A17:B17"/>
    <mergeCell ref="A18:B18"/>
    <mergeCell ref="A19:B19"/>
  </mergeCells>
  <conditionalFormatting sqref="E6:E13">
    <cfRule type="cellIs" dxfId="37" priority="1" operator="equal">
      <formula>"mal"</formula>
    </cfRule>
    <cfRule type="cellIs" dxfId="36" priority="2" operator="equal">
      <formula>"ok"</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C14" sqref="C14"/>
    </sheetView>
  </sheetViews>
  <sheetFormatPr baseColWidth="10" defaultRowHeight="15" x14ac:dyDescent="0.3"/>
  <cols>
    <col min="1" max="1" width="14.28515625" style="58" customWidth="1"/>
    <col min="2" max="2" width="69.7109375" style="58" customWidth="1"/>
    <col min="3" max="3" width="11.5703125" style="2" bestFit="1" customWidth="1"/>
    <col min="4" max="4" width="8.7109375" style="4" bestFit="1" customWidth="1"/>
    <col min="5" max="5" width="6.28515625" style="5" bestFit="1" customWidth="1"/>
  </cols>
  <sheetData>
    <row r="1" spans="1:6" ht="15.75" thickBot="1" x14ac:dyDescent="0.35">
      <c r="A1" s="88" t="s">
        <v>0</v>
      </c>
      <c r="B1" s="89"/>
    </row>
    <row r="2" spans="1:6" ht="15.75" thickBot="1" x14ac:dyDescent="0.35">
      <c r="A2" s="54" t="s">
        <v>185</v>
      </c>
      <c r="B2" s="51" t="str">
        <f>VLOOKUP(B4,listado!A:E,5,FALSE)</f>
        <v>1.4</v>
      </c>
    </row>
    <row r="3" spans="1:6" ht="26.25" thickBot="1" x14ac:dyDescent="0.35">
      <c r="A3" s="55" t="s">
        <v>186</v>
      </c>
      <c r="B3" s="52" t="str">
        <f>VLOOKUP(B4,listado!A:E,2,FALSE)</f>
        <v>Turismo activo sostenible</v>
      </c>
    </row>
    <row r="4" spans="1:6" ht="15.75" thickBot="1" x14ac:dyDescent="0.35">
      <c r="A4" s="56" t="s">
        <v>187</v>
      </c>
      <c r="B4" s="53" t="s">
        <v>31</v>
      </c>
    </row>
    <row r="5" spans="1:6" ht="15.75" thickBot="1" x14ac:dyDescent="0.35">
      <c r="A5" s="57" t="s">
        <v>188</v>
      </c>
      <c r="B5" s="60" t="s">
        <v>32</v>
      </c>
      <c r="C5" s="2" t="s">
        <v>7</v>
      </c>
      <c r="D5" s="4" t="s">
        <v>8</v>
      </c>
    </row>
    <row r="6" spans="1:6" ht="157.5" thickBot="1" x14ac:dyDescent="0.35">
      <c r="A6" s="57" t="s">
        <v>189</v>
      </c>
      <c r="B6" s="59" t="s">
        <v>266</v>
      </c>
      <c r="C6" s="1">
        <f>LEN(B6)</f>
        <v>893</v>
      </c>
      <c r="D6" s="4">
        <v>1000</v>
      </c>
      <c r="E6" s="4" t="str">
        <f>IF(C6&lt;=D6,"ok","mal")</f>
        <v>ok</v>
      </c>
    </row>
    <row r="7" spans="1:6" ht="72" thickBot="1" x14ac:dyDescent="0.35">
      <c r="A7" s="57" t="s">
        <v>190</v>
      </c>
      <c r="B7" s="59" t="s">
        <v>33</v>
      </c>
      <c r="C7" s="1">
        <f>LEN(B7)</f>
        <v>355</v>
      </c>
      <c r="D7" s="4">
        <v>650</v>
      </c>
      <c r="E7" s="4" t="str">
        <f t="shared" ref="E7:E13" si="0">IF(C7&lt;=D7,"ok","mal")</f>
        <v>ok</v>
      </c>
    </row>
    <row r="8" spans="1:6" ht="29.25" thickBot="1" x14ac:dyDescent="0.35">
      <c r="A8" s="57" t="s">
        <v>191</v>
      </c>
      <c r="B8" s="59" t="s">
        <v>34</v>
      </c>
      <c r="C8" s="1">
        <f t="shared" ref="C8:C12" si="1">LEN(B8)</f>
        <v>125</v>
      </c>
      <c r="D8" s="4">
        <v>250</v>
      </c>
      <c r="E8" s="4" t="str">
        <f t="shared" si="0"/>
        <v>ok</v>
      </c>
    </row>
    <row r="9" spans="1:6" ht="15.75" thickBot="1" x14ac:dyDescent="0.35">
      <c r="A9" s="57" t="s">
        <v>192</v>
      </c>
      <c r="B9" s="59" t="s">
        <v>4</v>
      </c>
      <c r="E9" s="4"/>
    </row>
    <row r="10" spans="1:6" ht="29.25" thickBot="1" x14ac:dyDescent="0.35">
      <c r="A10" s="57" t="s">
        <v>193</v>
      </c>
      <c r="B10" s="59" t="s">
        <v>35</v>
      </c>
      <c r="E10" s="4"/>
    </row>
    <row r="11" spans="1:6" ht="57.75" thickBot="1" x14ac:dyDescent="0.35">
      <c r="A11" s="57" t="s">
        <v>194</v>
      </c>
      <c r="B11" s="59" t="s">
        <v>267</v>
      </c>
      <c r="C11" s="17">
        <v>10000</v>
      </c>
      <c r="E11" s="4"/>
    </row>
    <row r="12" spans="1:6" ht="26.25" thickBot="1" x14ac:dyDescent="0.35">
      <c r="A12" s="57" t="s">
        <v>195</v>
      </c>
      <c r="B12" s="59"/>
      <c r="C12" s="1">
        <f t="shared" si="1"/>
        <v>0</v>
      </c>
      <c r="D12" s="4">
        <v>600</v>
      </c>
      <c r="E12" s="4" t="str">
        <f t="shared" si="0"/>
        <v>ok</v>
      </c>
    </row>
    <row r="13" spans="1:6" ht="43.5" thickBot="1" x14ac:dyDescent="0.35">
      <c r="A13" s="57" t="s">
        <v>196</v>
      </c>
      <c r="B13" s="59" t="s">
        <v>36</v>
      </c>
      <c r="C13" s="1">
        <f>LEN(B13)</f>
        <v>150</v>
      </c>
      <c r="D13" s="4">
        <v>500</v>
      </c>
      <c r="E13" s="4" t="str">
        <f t="shared" si="0"/>
        <v>ok</v>
      </c>
    </row>
    <row r="14" spans="1:6" ht="29.25" thickBot="1" x14ac:dyDescent="0.35">
      <c r="A14" s="61" t="s">
        <v>197</v>
      </c>
      <c r="B14" s="62" t="s">
        <v>268</v>
      </c>
      <c r="C14" s="35">
        <v>10000</v>
      </c>
      <c r="D14" s="35">
        <v>0</v>
      </c>
      <c r="E14" s="35">
        <v>0</v>
      </c>
      <c r="F14" s="13" t="str">
        <f>IF(SUM(C14:E14)=C11,"ok","mal")</f>
        <v>ok</v>
      </c>
    </row>
    <row r="15" spans="1:6" ht="15.75" thickBot="1" x14ac:dyDescent="0.35">
      <c r="A15" s="146" t="s">
        <v>136</v>
      </c>
      <c r="B15" s="147"/>
      <c r="C15"/>
    </row>
    <row r="16" spans="1:6" ht="15.75" thickBot="1" x14ac:dyDescent="0.35">
      <c r="A16" s="152" t="s">
        <v>141</v>
      </c>
      <c r="B16" s="153"/>
      <c r="C16"/>
    </row>
    <row r="17" spans="1:3" ht="15.75" thickBot="1" x14ac:dyDescent="0.35">
      <c r="A17" s="148" t="s">
        <v>137</v>
      </c>
      <c r="B17" s="149"/>
      <c r="C17"/>
    </row>
    <row r="18" spans="1:3" ht="15.75" thickBot="1" x14ac:dyDescent="0.35">
      <c r="A18" s="152" t="s">
        <v>140</v>
      </c>
      <c r="B18" s="153"/>
      <c r="C18"/>
    </row>
    <row r="19" spans="1:3" ht="15.75" thickBot="1" x14ac:dyDescent="0.35">
      <c r="A19" s="150" t="s">
        <v>138</v>
      </c>
      <c r="B19" s="151"/>
      <c r="C19"/>
    </row>
    <row r="20" spans="1:3" ht="15.75" thickBot="1" x14ac:dyDescent="0.35">
      <c r="A20" s="152" t="s">
        <v>142</v>
      </c>
      <c r="B20" s="153"/>
      <c r="C20"/>
    </row>
  </sheetData>
  <mergeCells count="6">
    <mergeCell ref="A20:B20"/>
    <mergeCell ref="A15:B15"/>
    <mergeCell ref="A16:B16"/>
    <mergeCell ref="A17:B17"/>
    <mergeCell ref="A18:B18"/>
    <mergeCell ref="A19:B19"/>
  </mergeCells>
  <conditionalFormatting sqref="E6:E13">
    <cfRule type="cellIs" dxfId="35" priority="1" operator="equal">
      <formula>"mal"</formula>
    </cfRule>
    <cfRule type="cellIs" dxfId="34" priority="2" operator="equal">
      <formula>"ok"</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activeCell="B6" sqref="B6"/>
    </sheetView>
  </sheetViews>
  <sheetFormatPr baseColWidth="10" defaultRowHeight="15" x14ac:dyDescent="0.3"/>
  <cols>
    <col min="1" max="1" width="14.28515625" style="58" customWidth="1"/>
    <col min="2" max="2" width="69.7109375" style="58" customWidth="1"/>
    <col min="3" max="3" width="10.5703125" style="2" bestFit="1" customWidth="1"/>
    <col min="4" max="4" width="11.5703125" style="4" bestFit="1" customWidth="1"/>
    <col min="5" max="5" width="4.140625" style="5" bestFit="1" customWidth="1"/>
  </cols>
  <sheetData>
    <row r="1" spans="1:6" ht="15.75" thickBot="1" x14ac:dyDescent="0.35">
      <c r="A1" s="88" t="s">
        <v>0</v>
      </c>
      <c r="B1" s="89"/>
    </row>
    <row r="2" spans="1:6" ht="15.75" thickBot="1" x14ac:dyDescent="0.35">
      <c r="A2" s="54" t="s">
        <v>185</v>
      </c>
      <c r="B2" s="51" t="str">
        <f>VLOOKUP(B4,listado!A:E,5,FALSE)</f>
        <v>1.5</v>
      </c>
    </row>
    <row r="3" spans="1:6" ht="26.25" thickBot="1" x14ac:dyDescent="0.35">
      <c r="A3" s="55" t="s">
        <v>186</v>
      </c>
      <c r="B3" s="52" t="str">
        <f>VLOOKUP(B4,listado!A:E,2,FALSE)</f>
        <v>Turismo activo sostenible</v>
      </c>
    </row>
    <row r="4" spans="1:6" ht="15.75" thickBot="1" x14ac:dyDescent="0.35">
      <c r="A4" s="56" t="s">
        <v>187</v>
      </c>
      <c r="B4" s="53" t="s">
        <v>250</v>
      </c>
    </row>
    <row r="5" spans="1:6" ht="15.75" thickBot="1" x14ac:dyDescent="0.35">
      <c r="A5" s="57" t="s">
        <v>188</v>
      </c>
      <c r="B5" s="60" t="s">
        <v>3</v>
      </c>
      <c r="C5" s="2" t="s">
        <v>7</v>
      </c>
      <c r="D5" s="4" t="s">
        <v>8</v>
      </c>
    </row>
    <row r="6" spans="1:6" ht="228.75" thickBot="1" x14ac:dyDescent="0.35">
      <c r="A6" s="57" t="s">
        <v>189</v>
      </c>
      <c r="B6" s="59" t="s">
        <v>251</v>
      </c>
      <c r="C6" s="1">
        <f>LEN(B6)</f>
        <v>1212</v>
      </c>
      <c r="D6" s="4">
        <v>1000</v>
      </c>
      <c r="E6" s="4" t="str">
        <f>IF(C6&lt;=D6,"ok","mal")</f>
        <v>mal</v>
      </c>
    </row>
    <row r="7" spans="1:6" ht="86.25" thickBot="1" x14ac:dyDescent="0.35">
      <c r="A7" s="57" t="s">
        <v>190</v>
      </c>
      <c r="B7" s="59" t="s">
        <v>209</v>
      </c>
      <c r="C7" s="1">
        <f>LEN(B7)</f>
        <v>443</v>
      </c>
      <c r="D7" s="4">
        <v>650</v>
      </c>
      <c r="E7" s="4" t="str">
        <f t="shared" ref="E7:E13" si="0">IF(C7&lt;=D7,"ok","mal")</f>
        <v>ok</v>
      </c>
    </row>
    <row r="8" spans="1:6" ht="29.25" thickBot="1" x14ac:dyDescent="0.35">
      <c r="A8" s="57" t="s">
        <v>191</v>
      </c>
      <c r="B8" s="59" t="s">
        <v>210</v>
      </c>
      <c r="C8" s="1">
        <f t="shared" ref="C8:C12" si="1">LEN(B8)</f>
        <v>102</v>
      </c>
      <c r="D8" s="4">
        <v>250</v>
      </c>
      <c r="E8" s="4" t="str">
        <f t="shared" si="0"/>
        <v>ok</v>
      </c>
    </row>
    <row r="9" spans="1:6" ht="29.25" thickBot="1" x14ac:dyDescent="0.35">
      <c r="A9" s="57" t="s">
        <v>192</v>
      </c>
      <c r="B9" s="59" t="s">
        <v>211</v>
      </c>
      <c r="E9" s="4"/>
    </row>
    <row r="10" spans="1:6" ht="43.5" thickBot="1" x14ac:dyDescent="0.35">
      <c r="A10" s="57" t="s">
        <v>193</v>
      </c>
      <c r="B10" s="59" t="s">
        <v>212</v>
      </c>
      <c r="E10" s="4"/>
    </row>
    <row r="11" spans="1:6" ht="43.5" thickBot="1" x14ac:dyDescent="0.35">
      <c r="A11" s="57" t="s">
        <v>194</v>
      </c>
      <c r="B11" s="59" t="s">
        <v>252</v>
      </c>
      <c r="C11" s="1">
        <v>11000</v>
      </c>
      <c r="E11" s="4"/>
    </row>
    <row r="12" spans="1:6" ht="26.25" thickBot="1" x14ac:dyDescent="0.35">
      <c r="A12" s="57" t="s">
        <v>195</v>
      </c>
      <c r="B12" s="59"/>
      <c r="C12" s="1">
        <f t="shared" si="1"/>
        <v>0</v>
      </c>
      <c r="D12" s="4">
        <v>600</v>
      </c>
      <c r="E12" s="4" t="str">
        <f t="shared" si="0"/>
        <v>ok</v>
      </c>
    </row>
    <row r="13" spans="1:6" ht="143.25" thickBot="1" x14ac:dyDescent="0.35">
      <c r="A13" s="57" t="s">
        <v>196</v>
      </c>
      <c r="B13" s="59" t="s">
        <v>253</v>
      </c>
      <c r="C13" s="1">
        <f>LEN(B13)</f>
        <v>328</v>
      </c>
      <c r="D13" s="4">
        <v>500</v>
      </c>
      <c r="E13" s="4" t="str">
        <f t="shared" si="0"/>
        <v>ok</v>
      </c>
    </row>
    <row r="14" spans="1:6" ht="43.5" thickBot="1" x14ac:dyDescent="0.35">
      <c r="A14" s="61" t="s">
        <v>197</v>
      </c>
      <c r="B14" s="62" t="s">
        <v>254</v>
      </c>
      <c r="C14" s="35">
        <v>1000</v>
      </c>
      <c r="D14" s="35">
        <v>10000</v>
      </c>
      <c r="E14" s="35">
        <v>0</v>
      </c>
      <c r="F14" s="13" t="str">
        <f>IF(SUM(C14:E14)=C11,"ok","mal")</f>
        <v>ok</v>
      </c>
    </row>
    <row r="15" spans="1:6" ht="15.75" thickBot="1" x14ac:dyDescent="0.35">
      <c r="A15" s="146" t="s">
        <v>136</v>
      </c>
      <c r="B15" s="147"/>
    </row>
    <row r="16" spans="1:6" ht="15.75" thickBot="1" x14ac:dyDescent="0.35">
      <c r="A16" s="152" t="s">
        <v>140</v>
      </c>
      <c r="B16" s="153"/>
      <c r="C16"/>
    </row>
    <row r="17" spans="1:3" ht="15.75" thickBot="1" x14ac:dyDescent="0.35">
      <c r="A17" s="148" t="s">
        <v>137</v>
      </c>
      <c r="B17" s="149"/>
      <c r="C17"/>
    </row>
    <row r="18" spans="1:3" ht="15.75" thickBot="1" x14ac:dyDescent="0.35">
      <c r="A18" s="152" t="s">
        <v>140</v>
      </c>
      <c r="B18" s="153"/>
      <c r="C18"/>
    </row>
    <row r="19" spans="1:3" ht="15.75" thickBot="1" x14ac:dyDescent="0.35">
      <c r="A19" s="150" t="s">
        <v>138</v>
      </c>
      <c r="B19" s="151"/>
    </row>
    <row r="20" spans="1:3" ht="15.75" thickBot="1" x14ac:dyDescent="0.35">
      <c r="A20" s="152" t="s">
        <v>140</v>
      </c>
      <c r="B20" s="153"/>
    </row>
  </sheetData>
  <mergeCells count="6">
    <mergeCell ref="A20:B20"/>
    <mergeCell ref="A15:B15"/>
    <mergeCell ref="A16:B16"/>
    <mergeCell ref="A17:B17"/>
    <mergeCell ref="A18:B18"/>
    <mergeCell ref="A19:B19"/>
  </mergeCells>
  <conditionalFormatting sqref="E6:E13">
    <cfRule type="cellIs" dxfId="33" priority="1" operator="equal">
      <formula>"mal"</formula>
    </cfRule>
    <cfRule type="cellIs" dxfId="32" priority="2" operator="equal">
      <formula>"ok"</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25</vt:i4>
      </vt:variant>
    </vt:vector>
  </HeadingPairs>
  <TitlesOfParts>
    <vt:vector size="25" baseType="lpstr">
      <vt:lpstr>listado</vt:lpstr>
      <vt:lpstr>presupuesto</vt:lpstr>
      <vt:lpstr>tabla años</vt:lpstr>
      <vt:lpstr>Hoja1</vt:lpstr>
      <vt:lpstr>sendas</vt:lpstr>
      <vt:lpstr>guía</vt:lpstr>
      <vt:lpstr>folletos</vt:lpstr>
      <vt:lpstr>miradorestelar</vt:lpstr>
      <vt:lpstr>observ.aves</vt:lpstr>
      <vt:lpstr>fotofauna</vt:lpstr>
      <vt:lpstr>BTT</vt:lpstr>
      <vt:lpstr>autocaravanas</vt:lpstr>
      <vt:lpstr>museos</vt:lpstr>
      <vt:lpstr>Castillo</vt:lpstr>
      <vt:lpstr>trashumancia</vt:lpstr>
      <vt:lpstr>rutasurbanas</vt:lpstr>
      <vt:lpstr>señaléticaurbana</vt:lpstr>
      <vt:lpstr>web</vt:lpstr>
      <vt:lpstr>PIT</vt:lpstr>
      <vt:lpstr>puntorecarga</vt:lpstr>
      <vt:lpstr>cochecom.</vt:lpstr>
      <vt:lpstr>audit.med.amb.</vt:lpstr>
      <vt:lpstr>acreditaciones</vt:lpstr>
      <vt:lpstr>ETIS.CETS</vt:lpstr>
      <vt:lpstr>climaneutral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2021-04-21T07:29:22Z</dcterms:created>
  <dcterms:modified xsi:type="dcterms:W3CDTF">2021-05-14T07:38:55Z</dcterms:modified>
</cp:coreProperties>
</file>